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<sst xmlns="http://schemas.openxmlformats.org/spreadsheetml/2006/main" count="121" uniqueCount="108">
  <si>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Ross Stores, Inc. (ROST)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</si>
  <si>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</si>
  <si>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</si>
  <si>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</si>
  <si>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</si>
  <si>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</si>
  <si>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</si>
  <si>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</si>
  <si>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</si>
  <si>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</si>
  <si>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</si>
  <si>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</si>
  <si>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</si>
  <si>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</si>
  <si>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</si>
  <si>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</si>
  <si>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</si>
  <si>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</si>
  <si>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</si>
  <si>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</si>
  <si>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</si>
  <si>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</si>
  <si>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</si>
  <si>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</si>
  <si>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71.4x interest cover. Book interest / average debt was lower, at 0.7%.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</si>
  <si>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</si>
  <si>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</si>
  <si>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</si>
  <si>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</si>
  <si>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</si>
  <si>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</si>
  <si>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</si>
  <si>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</si>
  <si>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</si>
  <si>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</si>
  <si>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</si>
  <si>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</si>
  <si>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</si>
  <si>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</si>
  <si>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</si>
  <si>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</si>
  <si>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</si>
  <si>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</si>
  <si>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</si>
  <si>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</si>
  <si>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</si>
  <si>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</si>
  <si>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</si>
  <si>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</si>
  <si>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</si>
  <si>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</si>
  <si>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</si>
  <si>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</si>
  <si>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</si>
  <si>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</si>
  <si>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</si>
  <si>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</si>
  <si>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</si>
  <si>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</si>
  <si>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</si>
  <si>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</si>
  <si>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</si>
  <si>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</si>
  <si>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</si>
  <si>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</si>
  <si>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</si>
  <si>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</si>
  <si>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</si>
  <si>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</si>
  <si>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</si>
  <si>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</si>
  <si>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</si>
  <si>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</si>
  <si>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</si>
  <si>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</si>
  <si>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</si>
  <si>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</si>
  <si>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</si>
  <si>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</si>
  <si>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</si>
  <si>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</si>
  <si>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</si>
  <si>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</si>
  <si>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</si>
  <si>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</si>
  <si>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</si>
  <si>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</si>
  <si>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</si>
  <si>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</si>
  <si>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</si>
  <si>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</si>
  <si>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</si>
  <si>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</si>
  <si>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</si>
  <si>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</si>
  <si>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</si>
  <si>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</si>
  <si>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</si>
  <si>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</si>
  <si>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</si>
  <si>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</si>
  <si>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</si>
  <si>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</si>
  <si>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</si>
  <si>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</si>
  <si>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3.6% of revenue against depreciation of 2.1%.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</si>
  <si>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23.0x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</si>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</sst>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0.13027487939966664</v>
      </c>
    </row>
    <row r="7" spans="1:2" x14ac:dyDescent="0.25">
      <c r="A7" t="s">
        <v>4</v>
      </c>
      <c r="B7" s="5">
        <v>0.11526981174473186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0.021307170082493807</v>
      </c>
    </row>
    <row r="10" spans="1:3" x14ac:dyDescent="0.25">
      <c r="A10" t="s">
        <v>7</v>
      </c>
      <c r="B10" s="5">
        <v>0.03562800701795495</v>
      </c>
      <c r="C10" s="6" t="s">
        <v>8</v>
      </c>
    </row>
    <row r="11" spans="1:2" x14ac:dyDescent="0.25">
      <c r="A11" t="s">
        <v>9</v>
      </c>
      <c r="B11" s="5">
        <v>0.018367790822850324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0.25654574618412085</v>
      </c>
      <c r="C14" s="6" t="s">
        <v>13</v>
      </c>
    </row>
    <row r="15" spans="1:3" x14ac:dyDescent="0.25">
      <c r="A15" t="s">
        <v>14</v>
      </c>
      <c r="B15" s="5">
        <v>0.020846874569906623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0.89079</v>
      </c>
      <c r="C19" s="6" t="s">
        <v>21</v>
      </c>
    </row>
    <row r="20" spans="1:2" x14ac:dyDescent="0.25">
      <c r="A20" t="s">
        <v>22</v>
      </c>
      <c r="B20" s="9">
        <f>B17+B19*B18</f>
        <v>0.086620417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73227902976</v>
      </c>
    </row>
    <row r="23" spans="1:2" x14ac:dyDescent="0.25">
      <c r="A23" t="s">
        <v>26</v>
      </c>
      <c r="B23" s="10">
        <v>5212338000</v>
      </c>
    </row>
    <row r="24" spans="1:2" x14ac:dyDescent="0.25">
      <c r="A24" t="s">
        <v>27</v>
      </c>
      <c r="B24" s="9">
        <f>B22/(B22+B23)</f>
        <v>0.9335502041408211</v>
      </c>
    </row>
    <row r="25" spans="1:2" x14ac:dyDescent="0.25">
      <c r="A25" t="s">
        <v>28</v>
      </c>
      <c r="B25" s="9">
        <f>1-B24</f>
        <v>0.06644979585917887</v>
      </c>
    </row>
    <row r="26" spans="1:2" x14ac:dyDescent="0.25">
      <c r="A26" t="s">
        <v>29</v>
      </c>
      <c r="B26" s="11">
        <f>B24*B20+B25*B21*(1-B8)</f>
        <v>0.08364361120541315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22750559000</v>
      </c>
      <c r="C29" s="6" t="s">
        <v>32</v>
      </c>
    </row>
    <row r="30" spans="1:2" x14ac:dyDescent="0.25">
      <c r="A30" t="s">
        <v>33</v>
      </c>
      <c r="B30" s="10">
        <v>617946000</v>
      </c>
    </row>
    <row r="31" spans="1:2" x14ac:dyDescent="0.25">
      <c r="A31" t="s">
        <v>34</v>
      </c>
      <c r="B31" s="12">
        <v>324416000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0.13027487939966664</v>
      </c>
      <c r="C5" s="5">
        <v>0.06960818884174347</v>
      </c>
      <c r="D5" s="5">
        <v>0.06403216523652554</v>
      </c>
      <c r="E5" s="5">
        <v>0.0584561416313076</v>
      </c>
      <c r="F5" s="5">
        <v>0.05288011802608967</v>
      </c>
      <c r="G5" s="5">
        <v>0.04730409442087173</v>
      </c>
      <c r="H5" s="5">
        <v>0.0417280708156538</v>
      </c>
      <c r="I5" s="5">
        <v>0.03615204721043587</v>
      </c>
      <c r="J5" s="5">
        <v>0.030576023605217932</v>
      </c>
      <c r="K5" s="5">
        <v>0.025</v>
      </c>
    </row>
    <row r="6" spans="1:11" x14ac:dyDescent="0.25">
      <c r="A6" t="s">
        <v>50</v>
      </c>
      <c r="B6" s="18">
        <f>Assumptions!B29*(1+B5)</f>
        <v>25714385330</v>
      </c>
      <c r="C6" s="18">
        <f>B6*(1+C5)</f>
        <v>27504317119.999996</v>
      </c>
      <c r="D6" s="18">
        <f>C6*(1+D5)</f>
        <v>29265478098.54563</v>
      </c>
      <c r="E6" s="18">
        <f>D6*(1+E5)</f>
        <v>30976225031.182148</v>
      </c>
      <c r="F6" s="18">
        <f>E6*(1+F5)</f>
        <v>32614251466.83377</v>
      </c>
      <c r="G6" s="18">
        <f>F6*(1+G5)</f>
        <v>34157039097.68693</v>
      </c>
      <c r="H6" s="18">
        <f>G6*(1+H5)</f>
        <v>35582346444.00827</v>
      </c>
      <c r="I6" s="18">
        <f>H6*(1+I5)</f>
        <v>36868721112.51015</v>
      </c>
      <c r="J6" s="18">
        <f>I6*(1+J5)</f>
        <v>37996019999.54045</v>
      </c>
      <c r="K6" s="18">
        <f>J6*(1+K5)</f>
        <v>38945920499.52896</v>
      </c>
    </row>
    <row r="7" spans="1:11" x14ac:dyDescent="0.25">
      <c r="A7" t="s">
        <v>4</v>
      </c>
      <c r="B7" s="9">
        <f>Assumptions!B7</f>
        <v>0.11526981174473186</v>
      </c>
      <c r="C7" s="9">
        <f>Assumptions!B7</f>
        <v>0.11526981174473186</v>
      </c>
      <c r="D7" s="9">
        <f>Assumptions!B7</f>
        <v>0.11526981174473186</v>
      </c>
      <c r="E7" s="9">
        <f>Assumptions!B7</f>
        <v>0.11526981174473186</v>
      </c>
      <c r="F7" s="9">
        <f>Assumptions!B7</f>
        <v>0.11526981174473186</v>
      </c>
      <c r="G7" s="9">
        <f>Assumptions!B7</f>
        <v>0.11526981174473186</v>
      </c>
      <c r="H7" s="9">
        <f>Assumptions!B7</f>
        <v>0.11526981174473186</v>
      </c>
      <c r="I7" s="9">
        <f>Assumptions!B7</f>
        <v>0.11526981174473186</v>
      </c>
      <c r="J7" s="9">
        <f>Assumptions!B7</f>
        <v>0.11526981174473186</v>
      </c>
      <c r="K7" s="9">
        <f>Assumptions!B7</f>
        <v>0.11526981174473186</v>
      </c>
    </row>
    <row r="8" spans="1:11" x14ac:dyDescent="0.25">
      <c r="A8" t="s">
        <v>51</v>
      </c>
      <c r="B8" s="18">
        <f>B6*B7</f>
        <v>2964092356.1205945</v>
      </c>
      <c r="C8" s="18">
        <f>C6*C7</f>
        <v>3170417456.589805</v>
      </c>
      <c r="D8" s="18">
        <f>D6*D7</f>
        <v>3373426151.038928</v>
      </c>
      <c r="E8" s="18">
        <f>E6*E7</f>
        <v>3570623627.906817</v>
      </c>
      <c r="F8" s="18">
        <f>F6*F7</f>
        <v>3759438626.7772737</v>
      </c>
      <c r="G8" s="18">
        <f>G6*G7</f>
        <v>3937275466.547818</v>
      </c>
      <c r="H8" s="18">
        <f>H6*H7</f>
        <v>4101570376.0366626</v>
      </c>
      <c r="I8" s="18">
        <f>I6*I7</f>
        <v>4249850541.908066</v>
      </c>
      <c r="J8" s="18">
        <f>J6*J7</f>
        <v>4379794072.396094</v>
      </c>
      <c r="K8" s="18">
        <f>K6*K7</f>
        <v>4489288924.2059965</v>
      </c>
    </row>
    <row r="9" spans="1:11" x14ac:dyDescent="0.25">
      <c r="A9" t="s">
        <v>52</v>
      </c>
      <c r="B9" s="18">
        <f>B8*(1-Assumptions!B8)</f>
        <v>2341632961.33527</v>
      </c>
      <c r="C9" s="18">
        <f>C8*(1-Assumptions!B8)</f>
        <v>2504629790.705946</v>
      </c>
      <c r="D9" s="18">
        <f>D8*(1-Assumptions!B8)</f>
        <v>2665006659.320753</v>
      </c>
      <c r="E9" s="18">
        <f>E8*(1-Assumptions!B8)</f>
        <v>2820792666.0463853</v>
      </c>
      <c r="F9" s="18">
        <f>F8*(1-Assumptions!B8)</f>
        <v>2969956515.1540465</v>
      </c>
      <c r="G9" s="18">
        <f>G8*(1-Assumptions!B8)</f>
        <v>3110447618.5727763</v>
      </c>
      <c r="H9" s="18">
        <f>H8*(1-Assumptions!B8)</f>
        <v>3240240597.0689635</v>
      </c>
      <c r="I9" s="18">
        <f>I8*(1-Assumptions!B8)</f>
        <v>3357381928.1073723</v>
      </c>
      <c r="J9" s="18">
        <f>J8*(1-Assumptions!B8)</f>
        <v>3460037317.1929145</v>
      </c>
      <c r="K9" s="18">
        <f>K8*(1-Assumptions!B8)</f>
        <v>3546538250.1227374</v>
      </c>
    </row>
    <row r="10" spans="1:11" x14ac:dyDescent="0.25">
      <c r="A10" t="s">
        <v>53</v>
      </c>
      <c r="B10" s="18">
        <f>B6*Assumptions!B9</f>
        <v>547900781.7930937</v>
      </c>
      <c r="C10" s="18">
        <f>C6*Assumptions!B9</f>
        <v>586039162.8786862</v>
      </c>
      <c r="D10" s="18">
        <f>D6*Assumptions!B9</f>
        <v>623564519.3912092</v>
      </c>
      <c r="E10" s="18">
        <f>E6*Assumptions!B9</f>
        <v>660015695.253</v>
      </c>
      <c r="F10" s="18">
        <f>F6*Assumptions!B9</f>
        <v>694917403.1170503</v>
      </c>
      <c r="G10" s="18">
        <f>G6*Assumptions!B9</f>
        <v>727789841.5688063</v>
      </c>
      <c r="H10" s="18">
        <f>H6*Assumptions!B9</f>
        <v>758159107.6167029</v>
      </c>
      <c r="I10" s="18">
        <f>I6*Assumptions!B9</f>
        <v>785568111.468284</v>
      </c>
      <c r="J10" s="18">
        <f>J6*Assumptions!B9</f>
        <v>809587660.5880446</v>
      </c>
      <c r="K10" s="18">
        <f>K6*Assumptions!B9</f>
        <v>829827352.1027458</v>
      </c>
    </row>
    <row r="11" spans="1:11" x14ac:dyDescent="0.25">
      <c r="A11" t="s">
        <v>54</v>
      </c>
      <c r="B11" s="18">
        <f>-B6*B19</f>
        <v>-916152300.9996378</v>
      </c>
      <c r="C11" s="18">
        <f>-C6*C19</f>
        <v>-961979793.4046483</v>
      </c>
      <c r="D11" s="18">
        <f>-D6*D19</f>
        <v>-1004484225.9014759</v>
      </c>
      <c r="E11" s="18">
        <f>-E6*E19</f>
        <v>-1042993165.7154258</v>
      </c>
      <c r="F11" s="18">
        <f>-F6*F19</f>
        <v>-1076868763.1765828</v>
      </c>
      <c r="G11" s="18">
        <f>-G6*G19</f>
        <v>-1105524523.864731</v>
      </c>
      <c r="H11" s="18">
        <f>-H6*H19</f>
        <v>-1128441497.6175146</v>
      </c>
      <c r="I11" s="18">
        <f>-I6*I19</f>
        <v>-1145183286.8092754</v>
      </c>
      <c r="J11" s="18">
        <f>-J6*J19</f>
        <v>-1155409290.9934957</v>
      </c>
      <c r="K11" s="18">
        <f>-K6*K19</f>
        <v>-1158885647.567133</v>
      </c>
    </row>
    <row r="12" spans="1:11" x14ac:dyDescent="0.25">
      <c r="A12" t="s">
        <v>55</v>
      </c>
      <c r="B12" s="18">
        <f>-(B6-Assumptions!B29)*Assumptions!B11</f>
        <v>-54438942.064696155</v>
      </c>
      <c r="C12" s="18">
        <f>-(C6-B6)*Assumptions!B11</f>
        <v>-32877092.705889985</v>
      </c>
      <c r="D12" s="18">
        <f>-(D6-C6)*Assumptions!B11</f>
        <v>-32348636.459292617</v>
      </c>
      <c r="E12" s="18">
        <f>-(E6-D6)*Assumptions!B11</f>
        <v>-31422641.80950035</v>
      </c>
      <c r="F12" s="18">
        <f>-(F6-E6)*Assumptions!B11</f>
        <v>-30086926.932348106</v>
      </c>
      <c r="G12" s="18">
        <f>-(G6-F6)*Assumptions!B11</f>
        <v>-28337600.487591684</v>
      </c>
      <c r="H12" s="18">
        <f>-(H6-G6)*Assumptions!B11</f>
        <v>-26179747.195502233</v>
      </c>
      <c r="I12" s="18">
        <f>-(I6-H6)*Assumptions!B11</f>
        <v>-23627860.830855902</v>
      </c>
      <c r="J12" s="18">
        <f>-(J6-I6)*Assumptions!B11</f>
        <v>-20705990.1518046</v>
      </c>
      <c r="K12" s="18">
        <f>-(K6-J6)*Assumptions!B11</f>
        <v>-17447573.686309893</v>
      </c>
    </row>
    <row r="13" spans="1:11" x14ac:dyDescent="0.25">
      <c r="A13" s="19" t="s">
        <v>56</v>
      </c>
      <c r="B13" s="20">
        <f>B9+B10+B11+B12</f>
        <v>1918942500.0640297</v>
      </c>
      <c r="C13" s="20">
        <f>C9+C10+C11+C12</f>
        <v>2095812067.4740937</v>
      </c>
      <c r="D13" s="20">
        <f>D9+D10+D11+D12</f>
        <v>2251738316.351194</v>
      </c>
      <c r="E13" s="20">
        <f>E9+E10+E11+E12</f>
        <v>2406392553.774459</v>
      </c>
      <c r="F13" s="20">
        <f>F9+F10+F11+F12</f>
        <v>2557918228.1621656</v>
      </c>
      <c r="G13" s="20">
        <f>G9+G10+G11+G12</f>
        <v>2704375335.78926</v>
      </c>
      <c r="H13" s="20">
        <f>H9+H10+H11+H12</f>
        <v>2843778459.8726497</v>
      </c>
      <c r="I13" s="20">
        <f>I9+I10+I11+I12</f>
        <v>2974138891.9355254</v>
      </c>
      <c r="J13" s="20">
        <f>J9+J10+J11+J12</f>
        <v>3093509696.6356587</v>
      </c>
      <c r="K13" s="20">
        <f>K9+K10+K11+K12</f>
        <v>3200032380.97204</v>
      </c>
    </row>
    <row r="14" spans="1:11" x14ac:dyDescent="0.25">
      <c r="A14" t="s">
        <v>57</v>
      </c>
      <c r="B14" s="21">
        <f>1/(1+Assumptions!$B$26)^(1-0.5*Assumptions!$B$32)</f>
        <v>0.9606313652996565</v>
      </c>
      <c r="C14" s="21">
        <f>1/(1+Assumptions!$B$26)^(2-0.5*Assumptions!$B$32)</f>
        <v>0.8864827470639342</v>
      </c>
      <c r="D14" s="21">
        <f>1/(1+Assumptions!$B$26)^(3-0.5*Assumptions!$B$32)</f>
        <v>0.8180574664006343</v>
      </c>
      <c r="E14" s="21">
        <f>1/(1+Assumptions!$B$26)^(4-0.5*Assumptions!$B$32)</f>
        <v>0.7549137538776715</v>
      </c>
      <c r="F14" s="21">
        <f>1/(1+Assumptions!$B$26)^(5-0.5*Assumptions!$B$32)</f>
        <v>0.6966439390879883</v>
      </c>
      <c r="G14" s="21">
        <f>1/(1+Assumptions!$B$26)^(6-0.5*Assumptions!$B$32)</f>
        <v>0.6428718186351527</v>
      </c>
      <c r="H14" s="21">
        <f>1/(1+Assumptions!$B$26)^(7-0.5*Assumptions!$B$32)</f>
        <v>0.5932502272772513</v>
      </c>
      <c r="I14" s="21">
        <f>1/(1+Assumptions!$B$26)^(8-0.5*Assumptions!$B$32)</f>
        <v>0.5474587965478219</v>
      </c>
      <c r="J14" s="21">
        <f>1/(1+Assumptions!$B$26)^(9-0.5*Assumptions!$B$32)</f>
        <v>0.505201886382964</v>
      </c>
      <c r="K14" s="21">
        <f>1/(1+Assumptions!$B$26)^(10-0.5*Assumptions!$B$32)</f>
        <v>0.4662066764007333</v>
      </c>
    </row>
    <row r="15" spans="1:11" x14ac:dyDescent="0.25">
      <c r="A15" s="19" t="s">
        <v>58</v>
      </c>
      <c r="B15" s="20">
        <f>B13*B14</f>
        <v>1843396353.7680452</v>
      </c>
      <c r="C15" s="20">
        <f>C13*C14</f>
        <v>1857901238.904178</v>
      </c>
      <c r="D15" s="20">
        <f>D13*D14</f>
        <v>1842051342.0714877</v>
      </c>
      <c r="E15" s="20">
        <f>E13*E14</f>
        <v>1816618836.073153</v>
      </c>
      <c r="F15" s="20">
        <f>F13*F14</f>
        <v>1781958230.3318586</v>
      </c>
      <c r="G15" s="20">
        <f>G13*G14</f>
        <v>1738566690.3908935</v>
      </c>
      <c r="H15" s="20">
        <f>H13*H14</f>
        <v>1687072217.645601</v>
      </c>
      <c r="I15" s="20">
        <f>I13*I14</f>
        <v>1628218498.5450954</v>
      </c>
      <c r="J15" s="20">
        <f>J13*J14</f>
        <v>1562846934.2843256</v>
      </c>
      <c r="K15" s="20">
        <f>K13*K14</f>
        <v>1491876460.7077</v>
      </c>
    </row>
    <row r="17" spans="1:2" x14ac:dyDescent="0.25">
      <c r="A17" s="22" t="s">
        <v>59</v>
      </c>
      <c r="B17" s="23">
        <f>SUM(B15:K15)</f>
        <v>17250506802.72234</v>
      </c>
    </row>
    <row r="19" spans="1:11" x14ac:dyDescent="0.25">
      <c r="A19" t="s">
        <v>7</v>
      </c>
      <c r="B19" s="9">
        <f>Assumptions!$B$10+($B$20-Assumptions!$B$10)*0/9</f>
        <v>0.03562800701795495</v>
      </c>
      <c r="C19" s="9">
        <f>Assumptions!$B$10+($B$20-Assumptions!$B$10)*1/9</f>
        <v>0.03497559271177602</v>
      </c>
      <c r="D19" s="9">
        <f>Assumptions!$B$10+($B$20-Assumptions!$B$10)*2/9</f>
        <v>0.034323178405597086</v>
      </c>
      <c r="E19" s="9">
        <f>Assumptions!$B$10+($B$20-Assumptions!$B$10)*3/9</f>
        <v>0.03367076409941815</v>
      </c>
      <c r="F19" s="9">
        <f>Assumptions!$B$10+($B$20-Assumptions!$B$10)*4/9</f>
        <v>0.03301834979323922</v>
      </c>
      <c r="G19" s="9">
        <f>Assumptions!$B$10+($B$20-Assumptions!$B$10)*5/9</f>
        <v>0.032365935487060286</v>
      </c>
      <c r="H19" s="9">
        <f>Assumptions!$B$10+($B$20-Assumptions!$B$10)*6/9</f>
        <v>0.03171352118088135</v>
      </c>
      <c r="I19" s="9">
        <f>Assumptions!$B$10+($B$20-Assumptions!$B$10)*7/9</f>
        <v>0.031061106874702423</v>
      </c>
      <c r="J19" s="9">
        <f>Assumptions!$B$10+($B$20-Assumptions!$B$10)*8/9</f>
        <v>0.03040869256852349</v>
      </c>
      <c r="K19" s="9">
        <f>Assumptions!$B$10+($B$20-Assumptions!$B$10)*9/9</f>
        <v>0.029756278262344556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0.029756278262344556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3200032380.97204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3560700289.7499504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0.09744850722279254</v>
      </c>
    </row>
    <row r="7" spans="1:2" x14ac:dyDescent="0.25">
      <c r="A7" t="s">
        <v>66</v>
      </c>
      <c r="B7" s="18">
        <f>-MAX(B5,0)*B6</f>
        <v>-346984927.9038975</v>
      </c>
    </row>
    <row r="8" spans="1:2" x14ac:dyDescent="0.25">
      <c r="A8" t="s">
        <v>67</v>
      </c>
      <c r="B8" s="18">
        <f>IF(OR(Assumptions!$B$33=0,Assumptions!B12&lt;=0),B5,MAX(B5+B7,0))</f>
        <v>3213715361.846053</v>
      </c>
    </row>
    <row r="9" spans="1:2" x14ac:dyDescent="0.25">
      <c r="A9" t="s">
        <v>68</v>
      </c>
      <c r="B9" s="18">
        <f>B8*(1+Assumptions!B12)/(Assumptions!B26-Assumptions!B12)</f>
        <v>56170794706.92868</v>
      </c>
    </row>
    <row r="10" spans="1:2" x14ac:dyDescent="0.25">
      <c r="A10" t="s">
        <v>69</v>
      </c>
      <c r="B10" s="18">
        <f>B9/(1+Assumptions!B26)^(10-0.5*Assumptions!B32)</f>
        <v>26187199511.10512</v>
      </c>
    </row>
    <row r="11" spans="1:2" x14ac:dyDescent="0.25">
      <c r="A11" t="s">
        <v>70</v>
      </c>
      <c r="B11" s="18">
        <f>Forecast!B17+B10</f>
        <v>43437706313.82746</v>
      </c>
    </row>
    <row r="12" spans="1:2" x14ac:dyDescent="0.25">
      <c r="A12" t="s">
        <v>71</v>
      </c>
      <c r="B12" s="18">
        <f>-Assumptions!B30</f>
        <v>-617946000</v>
      </c>
    </row>
    <row r="13" spans="1:2" x14ac:dyDescent="0.25">
      <c r="A13" t="s">
        <v>72</v>
      </c>
      <c r="B13" s="18">
        <f>B11+B12</f>
        <v>42819760313.82746</v>
      </c>
    </row>
    <row r="14" spans="1:2" x14ac:dyDescent="0.25">
      <c r="A14" s="19" t="s">
        <v>73</v>
      </c>
      <c r="B14" s="24">
        <f>B13/Assumptions!B31</f>
        <v>131.99028504706138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5319116276.308743</v>
      </c>
    </row>
    <row r="18" spans="1:2" x14ac:dyDescent="0.25">
      <c r="A18" t="s">
        <v>68</v>
      </c>
      <c r="B18" s="18">
        <f>B17*Assumptions!B13</f>
        <v>106382325526.17485</v>
      </c>
    </row>
    <row r="19" spans="1:2" x14ac:dyDescent="0.25">
      <c r="A19" t="s">
        <v>69</v>
      </c>
      <c r="B19" s="18">
        <f>B18/(1+Assumptions!B26)^(10-0.5*Assumptions!B32)</f>
        <v>49596150411.33887</v>
      </c>
    </row>
    <row r="20" spans="1:2" x14ac:dyDescent="0.25">
      <c r="A20" t="s">
        <v>70</v>
      </c>
      <c r="B20" s="18">
        <f>Forecast!B17+B19</f>
        <v>66846657214.0612</v>
      </c>
    </row>
    <row r="21" spans="1:2" x14ac:dyDescent="0.25">
      <c r="A21" t="s">
        <v>71</v>
      </c>
      <c r="B21" s="18">
        <f>-Assumptions!B30</f>
        <v>-617946000</v>
      </c>
    </row>
    <row r="22" spans="1:2" x14ac:dyDescent="0.25">
      <c r="A22" t="s">
        <v>72</v>
      </c>
      <c r="B22" s="18">
        <f>B20+B21</f>
        <v>66228711214.0612</v>
      </c>
    </row>
    <row r="23" spans="1:2" x14ac:dyDescent="0.25">
      <c r="A23" s="19" t="s">
        <v>73</v>
      </c>
      <c r="B23" s="25">
        <f>B22/Assumptions!B31</f>
        <v>204.14748722030112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228.28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131.99028504706138</v>
      </c>
    </row>
    <row r="29" spans="1:2" x14ac:dyDescent="0.25">
      <c r="A29" s="19" t="s">
        <v>81</v>
      </c>
      <c r="B29" s="11">
        <f>B28/B26-1</f>
        <v>-0.4218053046825767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0.063644</v>
      </c>
      <c r="B5" s="31">
        <v>177.6011391138143</v>
      </c>
      <c r="C5" s="31">
        <v>188.58286479248775</v>
      </c>
      <c r="D5" s="31">
        <v>202.54153056809216</v>
      </c>
      <c r="E5" s="31">
        <v>220.80438948586482</v>
      </c>
      <c r="F5" s="31">
        <v>245.62541784564263</v>
      </c>
    </row>
    <row r="6" spans="1:6" x14ac:dyDescent="0.25">
      <c r="A6" s="30">
        <v>0.073644</v>
      </c>
      <c r="B6" s="31">
        <v>145.9775323061783</v>
      </c>
      <c r="C6" s="31">
        <v>152.28231703097964</v>
      </c>
      <c r="D6" s="31">
        <v>159.98465902050947</v>
      </c>
      <c r="E6" s="31">
        <v>169.5648845274241</v>
      </c>
      <c r="F6" s="31">
        <v>181.7519101431936</v>
      </c>
    </row>
    <row r="7" spans="1:6" x14ac:dyDescent="0.25">
      <c r="A7" s="30">
        <v>0.083644</v>
      </c>
      <c r="B7" s="31">
        <v>123.63927324657658</v>
      </c>
      <c r="C7" s="31">
        <v>127.44966850168407</v>
      </c>
      <c r="D7" s="32">
        <v>131.98938308741293</v>
      </c>
      <c r="E7" s="31">
        <v>137.46235015489523</v>
      </c>
      <c r="F7" s="31">
        <v>144.15635005168247</v>
      </c>
    </row>
    <row r="8" spans="1:6" x14ac:dyDescent="0.25">
      <c r="A8" s="30">
        <v>0.093644</v>
      </c>
      <c r="B8" s="31">
        <v>107.03968436278107</v>
      </c>
      <c r="C8" s="31">
        <v>109.40944031480625</v>
      </c>
      <c r="D8" s="31">
        <v>112.18875175471521</v>
      </c>
      <c r="E8" s="31">
        <v>115.4741451786154</v>
      </c>
      <c r="F8" s="31">
        <v>119.39506656154033</v>
      </c>
    </row>
    <row r="9" spans="1:6" x14ac:dyDescent="0.25">
      <c r="A9" s="30">
        <v>0.103644</v>
      </c>
      <c r="B9" s="31">
        <v>94.23285309194901</v>
      </c>
      <c r="C9" s="31">
        <v>95.72233591826466</v>
      </c>
      <c r="D9" s="31">
        <v>97.45439846851087</v>
      </c>
      <c r="E9" s="31">
        <v>99.47845000697198</v>
      </c>
      <c r="F9" s="31">
        <v>101.85829559779384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22750559000</v>
      </c>
      <c r="C5" s="18">
        <v>21129219000</v>
      </c>
      <c r="D5" s="18">
        <v>20376941000</v>
      </c>
      <c r="E5" s="18">
        <v>18695829000</v>
      </c>
      <c r="F5" s="6" t="s">
        <v>91</v>
      </c>
    </row>
    <row r="6" spans="1:6" x14ac:dyDescent="0.25">
      <c r="A6" t="s">
        <v>51</v>
      </c>
      <c r="B6" s="18">
        <v>2707357000</v>
      </c>
      <c r="C6" s="18">
        <v>2585586000</v>
      </c>
      <c r="D6" s="18">
        <v>2307663000</v>
      </c>
      <c r="E6" s="18">
        <v>1990331000</v>
      </c>
      <c r="F6" s="6" t="s">
        <v>92</v>
      </c>
    </row>
    <row r="7" spans="1:6" x14ac:dyDescent="0.25">
      <c r="A7" t="s">
        <v>93</v>
      </c>
      <c r="B7" s="18">
        <v>509391000</v>
      </c>
      <c r="C7" s="18">
        <v>446788000</v>
      </c>
      <c r="D7" s="18">
        <v>419432000</v>
      </c>
      <c r="E7" s="18">
        <v>394655000</v>
      </c>
      <c r="F7" s="6" t="s">
        <v>94</v>
      </c>
    </row>
    <row r="8" spans="1:6" x14ac:dyDescent="0.25">
      <c r="A8" t="s">
        <v>95</v>
      </c>
      <c r="B8" s="18">
        <v>819275000</v>
      </c>
      <c r="C8" s="18">
        <v>720104000</v>
      </c>
      <c r="D8" s="18">
        <v>762812000</v>
      </c>
      <c r="E8" s="18">
        <v>654070000</v>
      </c>
      <c r="F8" s="6" t="s">
        <v>96</v>
      </c>
    </row>
    <row r="9" spans="1:6" x14ac:dyDescent="0.25">
      <c r="A9" t="s">
        <v>97</v>
      </c>
      <c r="B9" s="18">
        <v>-122707000</v>
      </c>
      <c r="C9" s="18">
        <v>266055000</v>
      </c>
      <c r="D9" s="18">
        <v>-95869000</v>
      </c>
      <c r="E9" s="18">
        <v>418676000</v>
      </c>
      <c r="F9" s="6" t="s">
        <v>98</v>
      </c>
    </row>
    <row r="10" spans="1:6" x14ac:dyDescent="0.25">
      <c r="A10" t="s">
        <v>99</v>
      </c>
      <c r="B10" s="18">
        <v>5212338000</v>
      </c>
      <c r="C10" s="18">
        <v>5682429000</v>
      </c>
      <c r="D10" s="18">
        <v>5747704000</v>
      </c>
      <c r="E10" s="18">
        <v>5706447000</v>
      </c>
      <c r="F10" s="6" t="s">
        <v>100</v>
      </c>
    </row>
    <row r="11" spans="1:6" x14ac:dyDescent="0.25">
      <c r="A11" t="s">
        <v>101</v>
      </c>
      <c r="B11" s="18">
        <v>4594392000</v>
      </c>
      <c r="C11" s="18">
        <v>4730744000</v>
      </c>
      <c r="D11" s="18">
        <v>4872446000</v>
      </c>
      <c r="E11" s="18">
        <v>4551876000</v>
      </c>
      <c r="F11" s="6" t="s">
        <v>102</v>
      </c>
    </row>
    <row r="12" spans="1:6" x14ac:dyDescent="0.25">
      <c r="A12" t="s">
        <v>34</v>
      </c>
      <c r="B12" s="34">
        <v>324416000</v>
      </c>
      <c r="C12" s="34">
        <v>330984000</v>
      </c>
      <c r="D12" s="34">
        <v>337433000</v>
      </c>
      <c r="E12" s="34">
        <v>345222000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