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<sst xmlns="http://schemas.openxmlformats.org/spreadsheetml/2006/main" count="113" uniqueCount="101">
  <si>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Laboratorios Farmaceuticos Rovi, S.A. (ROVI.MC)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</si>
  <si>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</si>
  <si>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</si>
  <si>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</si>
  <si>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</si>
  <si>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</si>
  <si>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</si>
  <si>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</si>
  <si>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</si>
  <si>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</si>
  <si>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</si>
  <si>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</si>
  <si>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</si>
  <si>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</si>
  <si>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</si>
  <si>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</si>
  <si>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</si>
  <si>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</si>
  <si>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</si>
  <si>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</si>
  <si>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</si>
  <si>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</si>
  <si>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</si>
  <si>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</si>
  <si>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</si>
  <si>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</si>
  <si>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</si>
  <si>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</si>
  <si>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</si>
  <si>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</si>
  <si>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</si>
  <si>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</si>
  <si>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</si>
  <si>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</si>
  <si>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</si>
  <si>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</si>
  <si>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</si>
  <si>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</si>
  <si>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</si>
  <si>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</si>
  <si>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</si>
  <si>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</si>
  <si>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</si>
  <si>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</si>
  <si>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</si>
  <si>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</si>
  <si>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</si>
  <si>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</si>
  <si>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</si>
  <si>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</si>
  <si>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</si>
  <si>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</si>
  <si>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</si>
  <si>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</si>
  <si>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</si>
  <si>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</si>
  <si>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</si>
  <si>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</si>
  <si>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</si>
  <si>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</si>
  <si>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</si>
  <si>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</si>
  <si>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</si>
  <si>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</si>
  <si>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</si>
  <si>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</si>
  <si>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</si>
  <si>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</si>
  <si>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</si>
  <si>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</si>
  <si>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</si>
  <si>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</si>
  <si>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</si>
  <si>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</si>
  <si>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</si>
  <si>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</si>
  <si>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</si>
  <si>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</si>
  <si>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</si>
  <si>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</si>
  <si>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</si>
  <si>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</si>
  <si>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</si>
  <si>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</si>
  <si>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</si>
  <si>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</si>
  <si>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</si>
  <si>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</si>
  <si>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</si>
  <si>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</si>
  <si>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</si>
  <si>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</si>
  <si>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</si>
  <si>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</si>
  <si>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</si>
  <si>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</si>
  <si>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</si>
  <si>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</si>
  <si>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7.6% of revenue against depreciation of 3.4%.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</si>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</sst>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-0.03121805640366293</v>
      </c>
    </row>
    <row r="7" spans="1:2" x14ac:dyDescent="0.25">
      <c r="A7" t="s">
        <v>5</v>
      </c>
      <c r="B7" s="6">
        <v>0.2658452537189232</v>
      </c>
    </row>
    <row r="8" spans="1:2" x14ac:dyDescent="0.25">
      <c r="A8" t="s">
        <v>6</v>
      </c>
      <c r="B8" s="6">
        <v>0.22851935889899755</v>
      </c>
    </row>
    <row r="9" spans="1:2" x14ac:dyDescent="0.25">
      <c r="A9" t="s">
        <v>7</v>
      </c>
      <c r="B9" s="6">
        <v>0.03370908759408003</v>
      </c>
    </row>
    <row r="10" spans="1:2" x14ac:dyDescent="0.25">
      <c r="A10" t="s">
        <v>8</v>
      </c>
      <c r="B10" s="6">
        <v>0.07551239203389318</v>
      </c>
    </row>
    <row r="11" spans="1:2" x14ac:dyDescent="0.25">
      <c r="A11" t="s">
        <v>9</v>
      </c>
      <c r="B11" s="6">
        <v>0.224661995460377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13.749858825488763</v>
      </c>
    </row>
    <row r="14" spans="1:3" x14ac:dyDescent="0.25">
      <c r="A14" t="s">
        <v>12</v>
      </c>
      <c r="B14" s="6">
        <v>0.2482911946192057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0.48744999999999994</v>
      </c>
      <c r="C19" s="8" t="s">
        <v>19</v>
      </c>
    </row>
    <row r="20" spans="1:2" x14ac:dyDescent="0.25">
      <c r="A20" t="s">
        <v>20</v>
      </c>
      <c r="B20" s="10">
        <f>B17+B19*B18</f>
        <v>0.07368425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2948393984</v>
      </c>
    </row>
    <row r="23" spans="1:2" x14ac:dyDescent="0.25">
      <c r="A23" t="s">
        <v>24</v>
      </c>
      <c r="B23" s="11">
        <v>121724000</v>
      </c>
    </row>
    <row r="24" spans="1:2" x14ac:dyDescent="0.25">
      <c r="A24" t="s">
        <v>25</v>
      </c>
      <c r="B24" s="10">
        <f>B22/(B22+B23)</f>
        <v>0.9603520123218822</v>
      </c>
    </row>
    <row r="25" spans="1:2" x14ac:dyDescent="0.25">
      <c r="A25" t="s">
        <v>26</v>
      </c>
      <c r="B25" s="10">
        <f>1-B24</f>
        <v>0.039647987678117835</v>
      </c>
    </row>
    <row r="26" spans="1:2" x14ac:dyDescent="0.25">
      <c r="A26" t="s">
        <v>27</v>
      </c>
      <c r="B26" s="12">
        <f>B24*B20+B25*B21*(1-B8)</f>
        <v>0.07204749927192436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743483000</v>
      </c>
      <c r="C29" s="8" t="s">
        <v>30</v>
      </c>
    </row>
    <row r="30" spans="1:2" x14ac:dyDescent="0.25">
      <c r="A30" t="s">
        <v>31</v>
      </c>
      <c r="B30" s="11">
        <v>23748000</v>
      </c>
    </row>
    <row r="31" spans="1:2" x14ac:dyDescent="0.25">
      <c r="A31" t="s">
        <v>32</v>
      </c>
      <c r="B31" s="13">
        <v>51146000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-0.03121805640366293</v>
      </c>
      <c r="C5" s="10">
        <f>Assumptions!B6</f>
        <v>-0.03121805640366293</v>
      </c>
      <c r="D5" s="10">
        <f>Assumptions!B6</f>
        <v>-0.03121805640366293</v>
      </c>
      <c r="E5" s="10">
        <f>Assumptions!B6</f>
        <v>-0.03121805640366293</v>
      </c>
      <c r="F5" s="10">
        <f>Assumptions!B6</f>
        <v>-0.03121805640366293</v>
      </c>
    </row>
    <row r="6" spans="1:6" x14ac:dyDescent="0.25">
      <c r="A6" t="s">
        <v>43</v>
      </c>
      <c r="B6" s="18">
        <f>Assumptions!B29*(1+B5)</f>
        <v>720272905.7708355</v>
      </c>
      <c r="C6" s="18">
        <f>B6*(1+C5)</f>
        <v>697787385.5724514</v>
      </c>
      <c r="D6" s="18">
        <f>C6*(1+D5)</f>
        <v>676003819.611886</v>
      </c>
      <c r="E6" s="18">
        <f>D6*(1+E5)</f>
        <v>654900294.2421505</v>
      </c>
      <c r="F6" s="18">
        <f>E6*(1+F5)</f>
        <v>634455579.9177237</v>
      </c>
    </row>
    <row r="7" spans="1:6" x14ac:dyDescent="0.25">
      <c r="A7" t="s">
        <v>5</v>
      </c>
      <c r="B7" s="10">
        <f>Assumptions!B7</f>
        <v>0.2658452537189232</v>
      </c>
      <c r="C7" s="10">
        <f>Assumptions!B7</f>
        <v>0.2658452537189232</v>
      </c>
      <c r="D7" s="10">
        <f>Assumptions!B7</f>
        <v>0.2658452537189232</v>
      </c>
      <c r="E7" s="10">
        <f>Assumptions!B7</f>
        <v>0.2658452537189232</v>
      </c>
      <c r="F7" s="10">
        <f>Assumptions!B7</f>
        <v>0.2658452537189232</v>
      </c>
    </row>
    <row r="8" spans="1:6" x14ac:dyDescent="0.25">
      <c r="A8" t="s">
        <v>44</v>
      </c>
      <c r="B8" s="18">
        <f>B6*B7</f>
        <v>191481133.38151383</v>
      </c>
      <c r="C8" s="18">
        <f>C6*C7</f>
        <v>185503464.55937243</v>
      </c>
      <c r="D8" s="18">
        <f>D6*D7</f>
        <v>179712406.93968302</v>
      </c>
      <c r="E8" s="18">
        <f>E6*E7</f>
        <v>174102134.88340196</v>
      </c>
      <c r="F8" s="18">
        <f>F6*F7</f>
        <v>168667004.6166138</v>
      </c>
    </row>
    <row r="9" spans="1:6" x14ac:dyDescent="0.25">
      <c r="A9" t="s">
        <v>45</v>
      </c>
      <c r="B9" s="18">
        <f>B8*(1-Assumptions!B8)</f>
        <v>147723987.53991684</v>
      </c>
      <c r="C9" s="18">
        <f>C8*(1-Assumptions!B8)</f>
        <v>143112331.76472172</v>
      </c>
      <c r="D9" s="18">
        <f>D8*(1-Assumptions!B8)</f>
        <v>138644642.9196309</v>
      </c>
      <c r="E9" s="18">
        <f>E8*(1-Assumptions!B8)</f>
        <v>134316426.63690016</v>
      </c>
      <c r="F9" s="18">
        <f>F8*(1-Assumptions!B8)</f>
        <v>130123328.85421096</v>
      </c>
    </row>
    <row r="10" spans="1:6" x14ac:dyDescent="0.25">
      <c r="A10" t="s">
        <v>46</v>
      </c>
      <c r="B10" s="18">
        <f>B6*Assumptions!B9</f>
        <v>24279742.472271644</v>
      </c>
      <c r="C10" s="18">
        <f>C6*Assumptions!B9</f>
        <v>23521776.102305856</v>
      </c>
      <c r="D10" s="18">
        <f>D6*Assumptions!B9</f>
        <v>22787471.96922974</v>
      </c>
      <c r="E10" s="18">
        <f>E6*Assumptions!B9</f>
        <v>22076091.383997437</v>
      </c>
      <c r="F10" s="18">
        <f>F6*Assumptions!B9</f>
        <v>21386918.717999388</v>
      </c>
    </row>
    <row r="11" spans="1:6" x14ac:dyDescent="0.25">
      <c r="A11" t="s">
        <v>47</v>
      </c>
      <c r="B11" s="18">
        <f>-B6*Assumptions!B10</f>
        <v>-54389530.03195873</v>
      </c>
      <c r="C11" s="18">
        <f>-C6*Assumptions!B10</f>
        <v>-52691594.61565232</v>
      </c>
      <c r="D11" s="18">
        <f>-D6*Assumptions!B10</f>
        <v>-51046665.44294194</v>
      </c>
      <c r="E11" s="18">
        <f>-E6*Assumptions!B10</f>
        <v>-49453087.761925265</v>
      </c>
      <c r="F11" s="18">
        <f>-F6*Assumptions!B10</f>
        <v>-47909258.47883819</v>
      </c>
    </row>
    <row r="12" spans="1:6" x14ac:dyDescent="0.25">
      <c r="A12" t="s">
        <v>48</v>
      </c>
      <c r="B12" s="18">
        <f>-(B6-Assumptions!B29)*Assumptions!B11</f>
        <v>5214426.0843474725</v>
      </c>
      <c r="C12" s="18">
        <f>-(C6-B6)*Assumptions!B11</f>
        <v>5051641.836733598</v>
      </c>
      <c r="D12" s="18">
        <f>-(D6-C6)*Assumptions!B11</f>
        <v>4893939.39694335</v>
      </c>
      <c r="E12" s="18">
        <f>-(E6-D6)*Assumptions!B11</f>
        <v>4741160.120813463</v>
      </c>
      <c r="F12" s="18">
        <f>-(F6-E6)*Assumptions!B11</f>
        <v>4593150.316743098</v>
      </c>
    </row>
    <row r="13" spans="1:6" x14ac:dyDescent="0.25">
      <c r="A13" s="19" t="s">
        <v>49</v>
      </c>
      <c r="B13" s="20">
        <f>B9+B10+B11+B12</f>
        <v>122828626.06457724</v>
      </c>
      <c r="C13" s="20">
        <f>C9+C10+C11+C12</f>
        <v>118994155.08810885</v>
      </c>
      <c r="D13" s="20">
        <f>D9+D10+D11+D12</f>
        <v>115279388.84286202</v>
      </c>
      <c r="E13" s="20">
        <f>E9+E10+E11+E12</f>
        <v>111680590.37978579</v>
      </c>
      <c r="F13" s="20">
        <f>F9+F10+F11+F12</f>
        <v>108194139.41011524</v>
      </c>
    </row>
    <row r="14" spans="1:6" x14ac:dyDescent="0.25">
      <c r="A14" t="s">
        <v>50</v>
      </c>
      <c r="B14" s="21">
        <f>1/(1+Assumptions!$B$26)^(1-0.5*Assumptions!$B$32)</f>
        <v>0.9658128647329468</v>
      </c>
      <c r="C14" s="21">
        <f>1/(1+Assumptions!$B$26)^(2-0.5*Assumptions!$B$32)</f>
        <v>0.9009049182884841</v>
      </c>
      <c r="D14" s="21">
        <f>1/(1+Assumptions!$B$26)^(3-0.5*Assumptions!$B$32)</f>
        <v>0.840359143508407</v>
      </c>
      <c r="E14" s="21">
        <f>1/(1+Assumptions!$B$26)^(4-0.5*Assumptions!$B$32)</f>
        <v>0.7838823784199233</v>
      </c>
      <c r="F14" s="21">
        <f>1/(1+Assumptions!$B$26)^(5-0.5*Assumptions!$B$32)</f>
        <v>0.731201163150227</v>
      </c>
    </row>
    <row r="15" spans="1:6" x14ac:dyDescent="0.25">
      <c r="A15" s="19" t="s">
        <v>51</v>
      </c>
      <c r="B15" s="20">
        <f>B13*B14</f>
        <v>118629467.21064124</v>
      </c>
      <c r="C15" s="20">
        <f>C13*C14</f>
        <v>107202419.56645991</v>
      </c>
      <c r="D15" s="20">
        <f>D13*D14</f>
        <v>96876088.47216015</v>
      </c>
      <c r="E15" s="20">
        <f>E13*E14</f>
        <v>87544446.81024769</v>
      </c>
      <c r="F15" s="20">
        <f>F13*F14</f>
        <v>79111680.58271408</v>
      </c>
    </row>
    <row r="17" spans="1:2" x14ac:dyDescent="0.25">
      <c r="A17" s="22" t="s">
        <v>52</v>
      </c>
      <c r="B17" s="23">
        <f>SUM(B15:F15)</f>
        <v>489364102.6422231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108194139.41011524</v>
      </c>
    </row>
    <row r="5" spans="1:2" x14ac:dyDescent="0.25">
      <c r="A5" t="s">
        <v>56</v>
      </c>
      <c r="B5" s="18">
        <f>IF(Assumptions!$B$33=0,B4,B4-Forecast!F11-Forecast!F10-Forecast!F12)</f>
        <v>132171024.58651344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0.10068822633175334</v>
      </c>
    </row>
    <row r="7" spans="1:2" x14ac:dyDescent="0.25">
      <c r="A7" t="s">
        <v>58</v>
      </c>
      <c r="B7" s="18">
        <f>-MAX(Forecast!F9,0)*B6</f>
        <v>-13308066.038066601</v>
      </c>
    </row>
    <row r="8" spans="1:2" x14ac:dyDescent="0.25">
      <c r="A8" t="s">
        <v>59</v>
      </c>
      <c r="B8" s="18">
        <f>IF(OR(Assumptions!$B$33=0,Assumptions!B12&lt;=0),B5,MAX(B5+B7,0))</f>
        <v>118862958.54844685</v>
      </c>
    </row>
    <row r="9" spans="1:2" x14ac:dyDescent="0.25">
      <c r="A9" t="s">
        <v>60</v>
      </c>
      <c r="B9" s="18">
        <f>B8*(1+Assumptions!B12)/(Assumptions!B26-Assumptions!B12)</f>
        <v>2589606980.1283336</v>
      </c>
    </row>
    <row r="10" spans="1:2" x14ac:dyDescent="0.25">
      <c r="A10" t="s">
        <v>61</v>
      </c>
      <c r="B10" s="18">
        <f>B9/(1+Assumptions!B26)^(5-0.5*Assumptions!B32)</f>
        <v>1893523635.9717844</v>
      </c>
    </row>
    <row r="11" spans="1:2" x14ac:dyDescent="0.25">
      <c r="A11" t="s">
        <v>62</v>
      </c>
      <c r="B11" s="18">
        <f>Forecast!B17+B10</f>
        <v>2382887738.6140075</v>
      </c>
    </row>
    <row r="12" spans="1:2" x14ac:dyDescent="0.25">
      <c r="A12" t="s">
        <v>63</v>
      </c>
      <c r="B12" s="18">
        <f>-Assumptions!B30</f>
        <v>-23748000</v>
      </c>
    </row>
    <row r="13" spans="1:2" x14ac:dyDescent="0.25">
      <c r="A13" t="s">
        <v>64</v>
      </c>
      <c r="B13" s="18">
        <f>B11+B12</f>
        <v>2359139738.6140075</v>
      </c>
    </row>
    <row r="14" spans="1:2" x14ac:dyDescent="0.25">
      <c r="A14" s="19" t="s">
        <v>65</v>
      </c>
      <c r="B14" s="24">
        <f>B13/Assumptions!B31</f>
        <v>46.12559610945152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190053923.3346132</v>
      </c>
    </row>
    <row r="18" spans="1:2" x14ac:dyDescent="0.25">
      <c r="A18" t="s">
        <v>60</v>
      </c>
      <c r="B18" s="18">
        <f>B17*Assumptions!B13</f>
        <v>2613214615.0811963</v>
      </c>
    </row>
    <row r="19" spans="1:2" x14ac:dyDescent="0.25">
      <c r="A19" t="s">
        <v>61</v>
      </c>
      <c r="B19" s="18">
        <f>B18/(1+Assumptions!B26)^(5-0.5*Assumptions!B32)</f>
        <v>1910785566.1085434</v>
      </c>
    </row>
    <row r="20" spans="1:2" x14ac:dyDescent="0.25">
      <c r="A20" t="s">
        <v>62</v>
      </c>
      <c r="B20" s="18">
        <f>Forecast!B17+B19</f>
        <v>2400149668.7507668</v>
      </c>
    </row>
    <row r="21" spans="1:2" x14ac:dyDescent="0.25">
      <c r="A21" t="s">
        <v>63</v>
      </c>
      <c r="B21" s="18">
        <f>-Assumptions!B30</f>
        <v>-23748000</v>
      </c>
    </row>
    <row r="22" spans="1:2" x14ac:dyDescent="0.25">
      <c r="A22" t="s">
        <v>64</v>
      </c>
      <c r="B22" s="18">
        <f>B20+B21</f>
        <v>2376401668.7507668</v>
      </c>
    </row>
    <row r="23" spans="1:2" x14ac:dyDescent="0.25">
      <c r="A23" s="19" t="s">
        <v>65</v>
      </c>
      <c r="B23" s="25">
        <f>B22/Assumptions!B31</f>
        <v>46.46309914266544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57.65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46.12559610945152</v>
      </c>
    </row>
    <row r="29" spans="1:2" x14ac:dyDescent="0.25">
      <c r="A29" s="19" t="s">
        <v>73</v>
      </c>
      <c r="B29" s="12">
        <f>B28/B26-1</f>
        <v>-0.1999029295845356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0.052047</v>
      </c>
      <c r="B5" s="31">
        <v>62.47436221633636</v>
      </c>
      <c r="C5" s="31">
        <v>69.71800352248445</v>
      </c>
      <c r="D5" s="31">
        <v>79.62450009570188</v>
      </c>
      <c r="E5" s="31">
        <v>94.00556459558132</v>
      </c>
      <c r="F5" s="31">
        <v>116.79845981909173</v>
      </c>
    </row>
    <row r="6" spans="1:6" x14ac:dyDescent="0.25">
      <c r="A6" s="30">
        <v>0.062047</v>
      </c>
      <c r="B6" s="31">
        <v>49.26580213868389</v>
      </c>
      <c r="C6" s="31">
        <v>53.27417173555613</v>
      </c>
      <c r="D6" s="31">
        <v>58.353796523789754</v>
      </c>
      <c r="E6" s="31">
        <v>65.00609092190824</v>
      </c>
      <c r="F6" s="31">
        <v>74.10324201714018</v>
      </c>
    </row>
    <row r="7" spans="1:6" x14ac:dyDescent="0.25">
      <c r="A7" s="30">
        <v>0.072047</v>
      </c>
      <c r="B7" s="31">
        <v>40.69243979666571</v>
      </c>
      <c r="C7" s="31">
        <v>43.151917149525936</v>
      </c>
      <c r="D7" s="32">
        <v>46.1260768236261</v>
      </c>
      <c r="E7" s="31">
        <v>49.7985284657567</v>
      </c>
      <c r="F7" s="31">
        <v>54.45200426801037</v>
      </c>
    </row>
    <row r="8" spans="1:6" x14ac:dyDescent="0.25">
      <c r="A8" s="30">
        <v>0.082047</v>
      </c>
      <c r="B8" s="31">
        <v>34.679958052412</v>
      </c>
      <c r="C8" s="31">
        <v>36.294493036327914</v>
      </c>
      <c r="D8" s="31">
        <v>38.18564916208501</v>
      </c>
      <c r="E8" s="31">
        <v>40.43314893295181</v>
      </c>
      <c r="F8" s="31">
        <v>43.15060543109392</v>
      </c>
    </row>
    <row r="9" spans="1:6" x14ac:dyDescent="0.25">
      <c r="A9" s="30">
        <v>0.092047</v>
      </c>
      <c r="B9" s="31">
        <v>30.230970216745916</v>
      </c>
      <c r="C9" s="31">
        <v>31.342253755612557</v>
      </c>
      <c r="D9" s="31">
        <v>32.614061865444484</v>
      </c>
      <c r="E9" s="31">
        <v>34.085201717651756</v>
      </c>
      <c r="F9" s="31">
        <v>35.80808581658395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743483000</v>
      </c>
      <c r="C5" s="18">
        <v>763749000</v>
      </c>
      <c r="D5" s="18">
        <v>829509000</v>
      </c>
      <c r="E5" s="18">
        <v>817698000</v>
      </c>
      <c r="F5" s="8" t="s">
        <v>84</v>
      </c>
    </row>
    <row r="6" spans="1:6" x14ac:dyDescent="0.25">
      <c r="A6" t="s">
        <v>44</v>
      </c>
      <c r="B6" s="18">
        <v>185784000</v>
      </c>
      <c r="C6" s="18">
        <v>179545000</v>
      </c>
      <c r="D6" s="18">
        <v>220254000</v>
      </c>
      <c r="E6" s="18">
        <v>255850000</v>
      </c>
      <c r="F6" s="8" t="s">
        <v>85</v>
      </c>
    </row>
    <row r="7" spans="1:6" x14ac:dyDescent="0.25">
      <c r="A7" t="s">
        <v>86</v>
      </c>
      <c r="B7" s="18">
        <v>30374000</v>
      </c>
      <c r="C7" s="18">
        <v>28015000</v>
      </c>
      <c r="D7" s="18">
        <v>24331000</v>
      </c>
      <c r="E7" s="18">
        <v>22871000</v>
      </c>
      <c r="F7" s="8" t="s">
        <v>87</v>
      </c>
    </row>
    <row r="8" spans="1:6" x14ac:dyDescent="0.25">
      <c r="A8" t="s">
        <v>88</v>
      </c>
      <c r="B8" s="18">
        <v>67813000</v>
      </c>
      <c r="C8" s="18">
        <v>62219000</v>
      </c>
      <c r="D8" s="18">
        <v>55187000</v>
      </c>
      <c r="E8" s="18">
        <v>51388000</v>
      </c>
      <c r="F8" s="8" t="s">
        <v>89</v>
      </c>
    </row>
    <row r="9" spans="1:6" x14ac:dyDescent="0.25">
      <c r="A9" t="s">
        <v>90</v>
      </c>
      <c r="B9" s="18">
        <v>-4553000</v>
      </c>
      <c r="C9" s="18">
        <v>-8960000</v>
      </c>
      <c r="D9" s="18">
        <v>34448000</v>
      </c>
      <c r="E9" s="18">
        <v>56973000</v>
      </c>
      <c r="F9" s="8" t="s">
        <v>91</v>
      </c>
    </row>
    <row r="10" spans="1:6" x14ac:dyDescent="0.25">
      <c r="A10" t="s">
        <v>92</v>
      </c>
      <c r="B10" s="18">
        <v>121724000</v>
      </c>
      <c r="C10" s="18">
        <v>114410000</v>
      </c>
      <c r="D10" s="18">
        <v>65427000</v>
      </c>
      <c r="E10" s="18">
        <v>72138000</v>
      </c>
      <c r="F10" s="8" t="s">
        <v>93</v>
      </c>
    </row>
    <row r="11" spans="1:6" x14ac:dyDescent="0.25">
      <c r="A11" t="s">
        <v>94</v>
      </c>
      <c r="B11" s="18">
        <v>97976000</v>
      </c>
      <c r="C11" s="18">
        <v>27413000</v>
      </c>
      <c r="D11" s="18">
        <v>25322000</v>
      </c>
      <c r="E11" s="18">
        <v>124945000</v>
      </c>
      <c r="F11" s="8" t="s">
        <v>95</v>
      </c>
    </row>
    <row r="12" spans="1:6" x14ac:dyDescent="0.25">
      <c r="A12" t="s">
        <v>32</v>
      </c>
      <c r="B12" s="34">
        <v>51146000</v>
      </c>
      <c r="C12" s="34">
        <v>51149498</v>
      </c>
      <c r="D12" s="34">
        <v>51820146</v>
      </c>
      <c r="E12" s="34">
        <v>53466000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2026-09-19T01:59:00Z</dcterms:modified>
</cp:coreProperties>
</file>