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<sst xmlns="http://schemas.openxmlformats.org/spreadsheetml/2006/main" count="113" uniqueCount="101">
  <si>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Rolls-Royce Holdings plc (RR.L)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</si>
  <si>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</si>
  <si>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</si>
  <si>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</si>
  <si>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</si>
  <si>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</si>
  <si>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</si>
  <si>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</si>
  <si>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</si>
  <si>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</si>
  <si>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</si>
  <si>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</si>
  <si>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</si>
  <si>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</si>
  <si>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</si>
  <si>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</si>
  <si>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</si>
  <si>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</si>
  <si>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</si>
  <si>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</si>
  <si>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</si>
  <si>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</si>
  <si>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</si>
  <si>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</si>
  <si>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</si>
  <si>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</si>
  <si>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</si>
  <si>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</si>
  <si>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</si>
  <si>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</si>
  <si>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</si>
  <si>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</si>
  <si>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</si>
  <si>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</si>
  <si>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</si>
  <si>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</si>
  <si>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</si>
  <si>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</si>
  <si>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</si>
  <si>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</si>
  <si>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</si>
  <si>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</si>
  <si>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</si>
  <si>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</si>
  <si>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</si>
  <si>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</si>
  <si>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</si>
  <si>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</si>
  <si>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</si>
  <si>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</si>
  <si>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</si>
  <si>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</si>
  <si>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</si>
  <si>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</si>
  <si>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</si>
  <si>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</si>
  <si>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</si>
  <si>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</si>
  <si>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</si>
  <si>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</si>
  <si>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</si>
  <si>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</si>
  <si>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</si>
  <si>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</si>
  <si>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</si>
  <si>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</si>
  <si>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</si>
  <si>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</si>
  <si>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</si>
  <si>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</si>
  <si>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</si>
  <si>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</si>
  <si>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</si>
  <si>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</si>
  <si>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</si>
  <si>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</si>
  <si>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</si>
  <si>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</si>
  <si>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</si>
  <si>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</si>
  <si>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</si>
  <si>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</si>
  <si>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</si>
  <si>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</si>
  <si>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</si>
  <si>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</si>
  <si>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</si>
  <si>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</si>
  <si>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</si>
  <si>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</si>
  <si>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</si>
  <si>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</si>
  <si>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</si>
  <si>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</si>
  <si>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</si>
  <si>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</si>
  <si>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</si>
  <si>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</si>
  <si>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GBP assumption - no free live source available for this market.</t>
  </si>
  <si>
    <t>Current EV/EBITDA of 22.1x sits outside a defensible 3-20x band, so the exit multiple is capped at 20.0x. A multiple that far out usually means EBITDA is the wrong denominator for this business.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</si>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</sst>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0.16189669115443972</v>
      </c>
    </row>
    <row r="7" spans="1:2" x14ac:dyDescent="0.25">
      <c r="A7" t="s">
        <v>5</v>
      </c>
      <c r="B7" s="6">
        <v>0.12960355418507183</v>
      </c>
    </row>
    <row r="8" spans="1:2" x14ac:dyDescent="0.25">
      <c r="A8" t="s">
        <v>6</v>
      </c>
      <c r="B8" s="6">
        <v>0.08397412074983164</v>
      </c>
    </row>
    <row r="9" spans="1:2" x14ac:dyDescent="0.25">
      <c r="A9" t="s">
        <v>7</v>
      </c>
      <c r="B9" s="6">
        <v>0.054339885642933225</v>
      </c>
    </row>
    <row r="10" spans="1:2" x14ac:dyDescent="0.25">
      <c r="A10" t="s">
        <v>8</v>
      </c>
      <c r="B10" s="6">
        <v>0.04515864495400912</v>
      </c>
    </row>
    <row r="11" spans="1:2" x14ac:dyDescent="0.25">
      <c r="A11" t="s">
        <v>9</v>
      </c>
      <c r="B11" s="6">
        <v>-0.2805124747134187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1.12596</v>
      </c>
      <c r="C19" s="8" t="s">
        <v>19</v>
      </c>
    </row>
    <row r="20" spans="1:2" x14ac:dyDescent="0.25">
      <c r="A20" t="s">
        <v>20</v>
      </c>
      <c r="B20" s="10">
        <f>B17+B19*B18</f>
        <v>0.1069278</v>
      </c>
    </row>
    <row r="21" spans="1:3" x14ac:dyDescent="0.25">
      <c r="A21" t="s">
        <v>21</v>
      </c>
      <c r="B21" s="6">
        <v>0.06420750504943128</v>
      </c>
      <c r="C21" s="8" t="s">
        <v>22</v>
      </c>
    </row>
    <row r="22" spans="1:2" x14ac:dyDescent="0.25">
      <c r="A22" t="s">
        <v>23</v>
      </c>
      <c r="B22" s="11">
        <v>119400947712</v>
      </c>
    </row>
    <row r="23" spans="1:2" x14ac:dyDescent="0.25">
      <c r="A23" t="s">
        <v>24</v>
      </c>
      <c r="B23" s="11">
        <v>4272000000</v>
      </c>
    </row>
    <row r="24" spans="1:2" x14ac:dyDescent="0.25">
      <c r="A24" t="s">
        <v>25</v>
      </c>
      <c r="B24" s="10">
        <f>B22/(B22+B23)</f>
        <v>0.9654572800354989</v>
      </c>
    </row>
    <row r="25" spans="1:2" x14ac:dyDescent="0.25">
      <c r="A25" t="s">
        <v>26</v>
      </c>
      <c r="B25" s="10">
        <f>1-B24</f>
        <v>0.03454271996450109</v>
      </c>
    </row>
    <row r="26" spans="1:2" x14ac:dyDescent="0.25">
      <c r="A26" t="s">
        <v>27</v>
      </c>
      <c r="B26" s="12">
        <f>B24*B20+B25*B21*(1-B8)</f>
        <v>0.10526587845556937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21207000000</v>
      </c>
      <c r="C29" s="8" t="s">
        <v>30</v>
      </c>
    </row>
    <row r="30" spans="1:2" x14ac:dyDescent="0.25">
      <c r="A30" t="s">
        <v>31</v>
      </c>
      <c r="B30" s="11">
        <v>-1776000000</v>
      </c>
    </row>
    <row r="31" spans="1:2" x14ac:dyDescent="0.25">
      <c r="A31" t="s">
        <v>32</v>
      </c>
      <c r="B31" s="13">
        <v>8448000000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0.16189669115443972</v>
      </c>
      <c r="C5" s="10">
        <f>Assumptions!B6</f>
        <v>0.16189669115443972</v>
      </c>
      <c r="D5" s="10">
        <f>Assumptions!B6</f>
        <v>0.16189669115443972</v>
      </c>
      <c r="E5" s="10">
        <f>Assumptions!B6</f>
        <v>0.16189669115443972</v>
      </c>
      <c r="F5" s="10">
        <f>Assumptions!B6</f>
        <v>0.16189669115443972</v>
      </c>
    </row>
    <row r="6" spans="1:6" x14ac:dyDescent="0.25">
      <c r="A6" t="s">
        <v>43</v>
      </c>
      <c r="B6" s="18">
        <f>Assumptions!B29*(1+B5)</f>
        <v>24640343129.312202</v>
      </c>
      <c r="C6" s="18">
        <f>B6*(1+C5)</f>
        <v>28629533150.85788</v>
      </c>
      <c r="D6" s="18">
        <f>C6*(1+D5)</f>
        <v>33264559837.27811</v>
      </c>
      <c r="E6" s="18">
        <f>D6*(1+E5)</f>
        <v>38649982007.6423</v>
      </c>
      <c r="F6" s="18">
        <f>E6*(1+F5)</f>
        <v>44907286207.85822</v>
      </c>
    </row>
    <row r="7" spans="1:6" x14ac:dyDescent="0.25">
      <c r="A7" t="s">
        <v>5</v>
      </c>
      <c r="B7" s="10">
        <f>Assumptions!B7</f>
        <v>0.12960355418507183</v>
      </c>
      <c r="C7" s="10">
        <f>Assumptions!B7</f>
        <v>0.12960355418507183</v>
      </c>
      <c r="D7" s="10">
        <f>Assumptions!B7</f>
        <v>0.12960355418507183</v>
      </c>
      <c r="E7" s="10">
        <f>Assumptions!B7</f>
        <v>0.12960355418507183</v>
      </c>
      <c r="F7" s="10">
        <f>Assumptions!B7</f>
        <v>0.12960355418507183</v>
      </c>
    </row>
    <row r="8" spans="1:6" x14ac:dyDescent="0.25">
      <c r="A8" t="s">
        <v>44</v>
      </c>
      <c r="B8" s="18">
        <f>B6*B7</f>
        <v>3193476045.8985763</v>
      </c>
      <c r="C8" s="18">
        <f>C6*C7</f>
        <v>3710489251.0105195</v>
      </c>
      <c r="D8" s="18">
        <f>D6*D7</f>
        <v>4311205183.313238</v>
      </c>
      <c r="E8" s="18">
        <f>E6*E7</f>
        <v>5009175037.37952</v>
      </c>
      <c r="F8" s="18">
        <f>F6*F7</f>
        <v>5820143901.344682</v>
      </c>
    </row>
    <row r="9" spans="1:6" x14ac:dyDescent="0.25">
      <c r="A9" t="s">
        <v>45</v>
      </c>
      <c r="B9" s="18">
        <f>B8*(1-Assumptions!B8)</f>
        <v>2925306702.808594</v>
      </c>
      <c r="C9" s="18">
        <f>C8*(1-Assumptions!B8)</f>
        <v>3398904178.60521</v>
      </c>
      <c r="D9" s="18">
        <f>D8*(1-Assumptions!B8)</f>
        <v>3949175518.672392</v>
      </c>
      <c r="E9" s="18">
        <f>E8*(1-Assumptions!B8)</f>
        <v>4588533967.93357</v>
      </c>
      <c r="F9" s="18">
        <f>F8*(1-Assumptions!B8)</f>
        <v>5331402434.591767</v>
      </c>
    </row>
    <row r="10" spans="1:6" x14ac:dyDescent="0.25">
      <c r="A10" t="s">
        <v>46</v>
      </c>
      <c r="B10" s="18">
        <f>B6*Assumptions!B9</f>
        <v>1338953427.8494606</v>
      </c>
      <c r="C10" s="18">
        <f>C6*Assumptions!B9</f>
        <v>1555725557.4281828</v>
      </c>
      <c r="D10" s="18">
        <f>D6*Assumptions!B9</f>
        <v>1807592377.520202</v>
      </c>
      <c r="E10" s="18">
        <f>E6*Assumptions!B9</f>
        <v>2100235602.3967094</v>
      </c>
      <c r="F10" s="18">
        <f>F6*Assumptions!B9</f>
        <v>2440256797.069488</v>
      </c>
    </row>
    <row r="11" spans="1:6" x14ac:dyDescent="0.25">
      <c r="A11" t="s">
        <v>47</v>
      </c>
      <c r="B11" s="18">
        <f>-B6*Assumptions!B10</f>
        <v>-1112724506.9215677</v>
      </c>
      <c r="C11" s="18">
        <f>-C6*Assumptions!B10</f>
        <v>-1292870922.758625</v>
      </c>
      <c r="D11" s="18">
        <f>-D6*Assumptions!B10</f>
        <v>-1502182447.2430336</v>
      </c>
      <c r="E11" s="18">
        <f>-E6*Assumptions!B10</f>
        <v>-1745380814.9619594</v>
      </c>
      <c r="F11" s="18">
        <f>-F6*Assumptions!B10</f>
        <v>-2027952193.70874</v>
      </c>
    </row>
    <row r="12" spans="1:6" x14ac:dyDescent="0.25">
      <c r="A12" t="s">
        <v>48</v>
      </c>
      <c r="B12" s="18">
        <f>-(B6-Assumptions!B29)*Assumptions!B11</f>
        <v>963095577.743679</v>
      </c>
      <c r="C12" s="18">
        <f>-(C6-B6)*Assumptions!B11</f>
        <v>1119017565.045854</v>
      </c>
      <c r="D12" s="18">
        <f>-(D6-C6)*Assumptions!B11</f>
        <v>1300182806.170476</v>
      </c>
      <c r="E12" s="18">
        <f>-(E6-D6)*Assumptions!B11</f>
        <v>1510678100.3853703</v>
      </c>
      <c r="F12" s="18">
        <f>-(F6-E6)*Assumptions!B11</f>
        <v>1755251886.237237</v>
      </c>
    </row>
    <row r="13" spans="1:6" x14ac:dyDescent="0.25">
      <c r="A13" s="19" t="s">
        <v>49</v>
      </c>
      <c r="B13" s="20">
        <f>B9+B10+B11+B12</f>
        <v>4114631201.4801664</v>
      </c>
      <c r="C13" s="20">
        <f>C9+C10+C11+C12</f>
        <v>4780776378.3206215</v>
      </c>
      <c r="D13" s="20">
        <f>D9+D10+D11+D12</f>
        <v>5554768255.120036</v>
      </c>
      <c r="E13" s="20">
        <f>E9+E10+E11+E12</f>
        <v>6454066855.753691</v>
      </c>
      <c r="F13" s="20">
        <f>F9+F10+F11+F12</f>
        <v>7498958924.189752</v>
      </c>
    </row>
    <row r="14" spans="1:6" x14ac:dyDescent="0.25">
      <c r="A14" t="s">
        <v>50</v>
      </c>
      <c r="B14" s="21">
        <f>1/(1+Assumptions!$B$26)^(1-0.5*Assumptions!$B$32)</f>
        <v>0.9511885605558599</v>
      </c>
      <c r="C14" s="21">
        <f>1/(1+Assumptions!$B$26)^(2-0.5*Assumptions!$B$32)</f>
        <v>0.8605970555111973</v>
      </c>
      <c r="D14" s="21">
        <f>1/(1+Assumptions!$B$26)^(3-0.5*Assumptions!$B$32)</f>
        <v>0.7786335146017018</v>
      </c>
      <c r="E14" s="21">
        <f>1/(1+Assumptions!$B$26)^(4-0.5*Assumptions!$B$32)</f>
        <v>0.7044762077426261</v>
      </c>
      <c r="F14" s="21">
        <f>1/(1+Assumptions!$B$26)^(5-0.5*Assumptions!$B$32)</f>
        <v>0.6373816666873113</v>
      </c>
    </row>
    <row r="15" spans="1:6" x14ac:dyDescent="0.25">
      <c r="A15" s="19" t="s">
        <v>51</v>
      </c>
      <c r="B15" s="20">
        <f>B13*B14</f>
        <v>3913790129.7541475</v>
      </c>
      <c r="C15" s="20">
        <f>C13*C14</f>
        <v>4114322074.2402124</v>
      </c>
      <c r="D15" s="20">
        <f>D13*D14</f>
        <v>4325128729.282077</v>
      </c>
      <c r="E15" s="20">
        <f>E13*E14</f>
        <v>4546736543.058735</v>
      </c>
      <c r="F15" s="20">
        <f>F13*F14</f>
        <v>4779698937.519751</v>
      </c>
    </row>
    <row r="17" spans="1:2" x14ac:dyDescent="0.25">
      <c r="A17" s="22" t="s">
        <v>52</v>
      </c>
      <c r="B17" s="23">
        <f>SUM(B15:F15)</f>
        <v>21679676413.85492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7498958924.189752</v>
      </c>
    </row>
    <row r="5" spans="1:2" x14ac:dyDescent="0.25">
      <c r="A5" t="s">
        <v>56</v>
      </c>
      <c r="B5" s="18">
        <f>IF(Assumptions!$B$33=0,B4,B4-Forecast!F11-Forecast!F10-Forecast!F12)</f>
        <v>5949776654.262189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0.04166666666666667</v>
      </c>
    </row>
    <row r="7" spans="1:2" x14ac:dyDescent="0.25">
      <c r="A7" t="s">
        <v>58</v>
      </c>
      <c r="B7" s="18">
        <f>-MAX(Forecast!F9,0)*B6</f>
        <v>-247907360.5942579</v>
      </c>
    </row>
    <row r="8" spans="1:2" x14ac:dyDescent="0.25">
      <c r="A8" t="s">
        <v>59</v>
      </c>
      <c r="B8" s="18">
        <f>IF(OR(Assumptions!$B$33=0,Assumptions!B12&lt;=0),B5,MAX(B5+B7,0))</f>
        <v>5701869293.667931</v>
      </c>
    </row>
    <row r="9" spans="1:2" x14ac:dyDescent="0.25">
      <c r="A9" t="s">
        <v>60</v>
      </c>
      <c r="B9" s="18">
        <f>B8*(1+Assumptions!B12)/(Assumptions!B26-Assumptions!B12)</f>
        <v>72813207037.219</v>
      </c>
    </row>
    <row r="10" spans="1:2" x14ac:dyDescent="0.25">
      <c r="A10" t="s">
        <v>61</v>
      </c>
      <c r="B10" s="18">
        <f>B9/(1+Assumptions!B26)^(5-0.5*Assumptions!B32)</f>
        <v>46409803258.23091</v>
      </c>
    </row>
    <row r="11" spans="1:2" x14ac:dyDescent="0.25">
      <c r="A11" t="s">
        <v>62</v>
      </c>
      <c r="B11" s="18">
        <f>Forecast!B17+B10</f>
        <v>68089479672.08583</v>
      </c>
    </row>
    <row r="12" spans="1:2" x14ac:dyDescent="0.25">
      <c r="A12" t="s">
        <v>63</v>
      </c>
      <c r="B12" s="18">
        <f>-Assumptions!B30</f>
        <v>1776000000</v>
      </c>
    </row>
    <row r="13" spans="1:2" x14ac:dyDescent="0.25">
      <c r="A13" t="s">
        <v>64</v>
      </c>
      <c r="B13" s="18">
        <f>B11+B12</f>
        <v>69865479672.08583</v>
      </c>
    </row>
    <row r="14" spans="1:2" x14ac:dyDescent="0.25">
      <c r="A14" s="19" t="s">
        <v>65</v>
      </c>
      <c r="B14" s="24">
        <f>B13/Assumptions!B31</f>
        <v>8.270061514214705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8260400698.414169</v>
      </c>
    </row>
    <row r="18" spans="1:2" x14ac:dyDescent="0.25">
      <c r="A18" t="s">
        <v>60</v>
      </c>
      <c r="B18" s="18">
        <f>B17*Assumptions!B13</f>
        <v>165208013968.2834</v>
      </c>
    </row>
    <row r="19" spans="1:2" x14ac:dyDescent="0.25">
      <c r="A19" t="s">
        <v>61</v>
      </c>
      <c r="B19" s="18">
        <f>B18/(1+Assumptions!B26)^(5-0.5*Assumptions!B32)</f>
        <v>105300559293.20508</v>
      </c>
    </row>
    <row r="20" spans="1:2" x14ac:dyDescent="0.25">
      <c r="A20" t="s">
        <v>62</v>
      </c>
      <c r="B20" s="18">
        <f>Forecast!B17+B19</f>
        <v>126980235707.06</v>
      </c>
    </row>
    <row r="21" spans="1:2" x14ac:dyDescent="0.25">
      <c r="A21" t="s">
        <v>63</v>
      </c>
      <c r="B21" s="18">
        <f>-Assumptions!B30</f>
        <v>1776000000</v>
      </c>
    </row>
    <row r="22" spans="1:2" x14ac:dyDescent="0.25">
      <c r="A22" t="s">
        <v>64</v>
      </c>
      <c r="B22" s="18">
        <f>B20+B21</f>
        <v>128756235707.06</v>
      </c>
    </row>
    <row r="23" spans="1:2" x14ac:dyDescent="0.25">
      <c r="A23" s="19" t="s">
        <v>65</v>
      </c>
      <c r="B23" s="25">
        <f>B22/Assumptions!B31</f>
        <v>15.241031688809185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1450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827.0061514214705</v>
      </c>
    </row>
    <row r="29" spans="1:2" x14ac:dyDescent="0.25">
      <c r="A29" s="19" t="s">
        <v>73</v>
      </c>
      <c r="B29" s="12">
        <f>B28/B26-1</f>
        <v>-0.42965093005415833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0.085266</v>
      </c>
      <c r="B5" s="31">
        <v>9.76585737292048</v>
      </c>
      <c r="C5" s="31">
        <v>10.264615753130403</v>
      </c>
      <c r="D5" s="31">
        <v>10.845459753193483</v>
      </c>
      <c r="E5" s="31">
        <v>11.530668609851977</v>
      </c>
      <c r="F5" s="31">
        <v>12.351386095216874</v>
      </c>
    </row>
    <row r="6" spans="1:6" x14ac:dyDescent="0.25">
      <c r="A6" s="30">
        <v>0.095266</v>
      </c>
      <c r="B6" s="31">
        <v>8.603693606128225</v>
      </c>
      <c r="C6" s="31">
        <v>8.964188652902502</v>
      </c>
      <c r="D6" s="31">
        <v>9.375433432803158</v>
      </c>
      <c r="E6" s="31">
        <v>9.849091691071145</v>
      </c>
      <c r="F6" s="31">
        <v>10.400697927681735</v>
      </c>
    </row>
    <row r="7" spans="1:6" x14ac:dyDescent="0.25">
      <c r="A7" s="30">
        <v>0.105266</v>
      </c>
      <c r="B7" s="31">
        <v>7.697920376194819</v>
      </c>
      <c r="C7" s="31">
        <v>7.967429581536754</v>
      </c>
      <c r="D7" s="32">
        <v>8.270049743212715</v>
      </c>
      <c r="E7" s="31">
        <v>8.612379648789611</v>
      </c>
      <c r="F7" s="31">
        <v>9.002896316434315</v>
      </c>
    </row>
    <row r="8" spans="1:6" x14ac:dyDescent="0.25">
      <c r="A8" s="30">
        <v>0.115266</v>
      </c>
      <c r="B8" s="31">
        <v>6.971903376387384</v>
      </c>
      <c r="C8" s="31">
        <v>7.178802790794077</v>
      </c>
      <c r="D8" s="31">
        <v>7.4082253255901795</v>
      </c>
      <c r="E8" s="31">
        <v>7.66413324950932</v>
      </c>
      <c r="F8" s="31">
        <v>7.951476115747687</v>
      </c>
    </row>
    <row r="9" spans="1:6" x14ac:dyDescent="0.25">
      <c r="A9" s="30">
        <v>0.125266</v>
      </c>
      <c r="B9" s="31">
        <v>6.376802504103561</v>
      </c>
      <c r="C9" s="31">
        <v>6.539068794852871</v>
      </c>
      <c r="D9" s="31">
        <v>6.717174503940326</v>
      </c>
      <c r="E9" s="31">
        <v>6.913613609018734</v>
      </c>
      <c r="F9" s="31">
        <v>7.1314326718041805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21207000000</v>
      </c>
      <c r="C5" s="18">
        <v>18909000000</v>
      </c>
      <c r="D5" s="18">
        <v>16486000000</v>
      </c>
      <c r="E5" s="18">
        <v>13520000000</v>
      </c>
      <c r="F5" s="8" t="s">
        <v>84</v>
      </c>
    </row>
    <row r="6" spans="1:6" x14ac:dyDescent="0.25">
      <c r="A6" t="s">
        <v>44</v>
      </c>
      <c r="B6" s="18">
        <v>4412000000</v>
      </c>
      <c r="C6" s="18">
        <v>2734000000</v>
      </c>
      <c r="D6" s="18">
        <v>1771000000</v>
      </c>
      <c r="E6" s="18">
        <v>789000000</v>
      </c>
      <c r="F6" s="8" t="s">
        <v>85</v>
      </c>
    </row>
    <row r="7" spans="1:6" x14ac:dyDescent="0.25">
      <c r="A7" t="s">
        <v>86</v>
      </c>
      <c r="B7" s="18">
        <v>902000000</v>
      </c>
      <c r="C7" s="18">
        <v>887000000</v>
      </c>
      <c r="D7" s="18">
        <v>948000000</v>
      </c>
      <c r="E7" s="18">
        <v>952000000</v>
      </c>
      <c r="F7" s="8" t="s">
        <v>87</v>
      </c>
    </row>
    <row r="8" spans="1:6" x14ac:dyDescent="0.25">
      <c r="A8" t="s">
        <v>88</v>
      </c>
      <c r="B8" s="18">
        <v>985000000</v>
      </c>
      <c r="C8" s="18">
        <v>886000000</v>
      </c>
      <c r="D8" s="18">
        <v>713000000</v>
      </c>
      <c r="E8" s="18">
        <v>596000000</v>
      </c>
      <c r="F8" s="8" t="s">
        <v>89</v>
      </c>
    </row>
    <row r="9" spans="1:6" x14ac:dyDescent="0.25">
      <c r="A9" t="s">
        <v>90</v>
      </c>
      <c r="B9" s="18">
        <v>-296000000</v>
      </c>
      <c r="C9" s="18">
        <v>-1206000000</v>
      </c>
      <c r="D9" s="18">
        <v>-832000000</v>
      </c>
      <c r="E9" s="18">
        <v>-613000000</v>
      </c>
      <c r="F9" s="8" t="s">
        <v>91</v>
      </c>
    </row>
    <row r="10" spans="1:6" x14ac:dyDescent="0.25">
      <c r="A10" t="s">
        <v>92</v>
      </c>
      <c r="B10" s="18">
        <v>4272000000</v>
      </c>
      <c r="C10" s="18">
        <v>5135000000</v>
      </c>
      <c r="D10" s="18">
        <v>5759000000</v>
      </c>
      <c r="E10" s="18">
        <v>5955000000</v>
      </c>
      <c r="F10" s="8" t="s">
        <v>93</v>
      </c>
    </row>
    <row r="11" spans="1:6" x14ac:dyDescent="0.25">
      <c r="A11" t="s">
        <v>94</v>
      </c>
      <c r="B11" s="18">
        <v>6048000000</v>
      </c>
      <c r="C11" s="18">
        <v>5362000000</v>
      </c>
      <c r="D11" s="18">
        <v>3515000000</v>
      </c>
      <c r="E11" s="18">
        <v>2395000000</v>
      </c>
      <c r="F11" s="8" t="s">
        <v>95</v>
      </c>
    </row>
    <row r="12" spans="1:6" x14ac:dyDescent="0.25">
      <c r="A12" t="s">
        <v>32</v>
      </c>
      <c r="B12" s="34">
        <v>8448000000</v>
      </c>
      <c r="C12" s="34">
        <v>8439000000</v>
      </c>
      <c r="D12" s="34">
        <v>8405000000</v>
      </c>
      <c r="E12" s="34">
        <v>8349000000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2026-09-19T00:07:12Z</dcterms:modified>
</cp:coreProperties>
</file>