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<sst xmlns="http://schemas.openxmlformats.org/spreadsheetml/2006/main" count="112" uniqueCount="100">
  <si>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Regis Resources Limited (RRL.AX)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</si>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</sst>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0.2748633565397842</v>
      </c>
    </row>
    <row r="7" spans="1:2" x14ac:dyDescent="0.25">
      <c r="A7" t="s">
        <v>5</v>
      </c>
      <c r="B7" s="6">
        <v>0.1311447245802183</v>
      </c>
    </row>
    <row r="8" spans="1:2" x14ac:dyDescent="0.25">
      <c r="A8" t="s">
        <v>6</v>
      </c>
      <c r="B8" s="6">
        <v>0.29852839098439254</v>
      </c>
    </row>
    <row r="9" spans="1:2" x14ac:dyDescent="0.25">
      <c r="A9" t="s">
        <v>7</v>
      </c>
      <c r="B9" s="6">
        <v>0.24934093813897332</v>
      </c>
    </row>
    <row r="10" spans="1:2" x14ac:dyDescent="0.25">
      <c r="A10" t="s">
        <v>8</v>
      </c>
      <c r="B10" s="6">
        <v>0.23902576281967372</v>
      </c>
    </row>
    <row r="11" spans="1:2" x14ac:dyDescent="0.25">
      <c r="A11" t="s">
        <v>9</v>
      </c>
      <c r="B11" s="6">
        <v>-0.040283620819661047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3.6507546586336668</v>
      </c>
    </row>
    <row r="14" spans="1:3" x14ac:dyDescent="0.25">
      <c r="A14" t="s">
        <v>12</v>
      </c>
      <c r="B14" s="6">
        <v>0.2430124898246394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1.29949</v>
      </c>
      <c r="C19" s="8" t="s">
        <v>19</v>
      </c>
    </row>
    <row r="20" spans="1:2" x14ac:dyDescent="0.25">
      <c r="A20" t="s">
        <v>20</v>
      </c>
      <c r="B20" s="10">
        <f>B17+B19*B18</f>
        <v>0.1314494</v>
      </c>
    </row>
    <row r="21" spans="1:3" x14ac:dyDescent="0.25">
      <c r="A21" t="s">
        <v>21</v>
      </c>
      <c r="B21" s="6">
        <v>0.09495433407443298</v>
      </c>
      <c r="C21" s="8" t="s">
        <v>22</v>
      </c>
    </row>
    <row r="22" spans="1:2" x14ac:dyDescent="0.25">
      <c r="A22" t="s">
        <v>23</v>
      </c>
      <c r="B22" s="11">
        <v>5917832192</v>
      </c>
    </row>
    <row r="23" spans="1:2" x14ac:dyDescent="0.25">
      <c r="A23" t="s">
        <v>24</v>
      </c>
      <c r="B23" s="11">
        <v>101685000</v>
      </c>
    </row>
    <row r="24" spans="1:2" x14ac:dyDescent="0.25">
      <c r="A24" t="s">
        <v>25</v>
      </c>
      <c r="B24" s="10">
        <f>B22/(B22+B23)</f>
        <v>0.9831074491929119</v>
      </c>
    </row>
    <row r="25" spans="1:2" x14ac:dyDescent="0.25">
      <c r="A25" t="s">
        <v>26</v>
      </c>
      <c r="B25" s="10">
        <f>1-B24</f>
        <v>0.01689255080708807</v>
      </c>
    </row>
    <row r="26" spans="1:2" x14ac:dyDescent="0.25">
      <c r="A26" t="s">
        <v>27</v>
      </c>
      <c r="B26" s="12">
        <f>B24*B20+B25*B21*(1-B8)</f>
        <v>0.130354059462469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2349099000</v>
      </c>
      <c r="C29" s="8" t="s">
        <v>30</v>
      </c>
    </row>
    <row r="30" spans="1:2" x14ac:dyDescent="0.25">
      <c r="A30" t="s">
        <v>31</v>
      </c>
      <c r="B30" s="11">
        <v>-1037434000</v>
      </c>
    </row>
    <row r="31" spans="1:2" x14ac:dyDescent="0.25">
      <c r="A31" t="s">
        <v>32</v>
      </c>
      <c r="B31" s="13">
        <v>761399063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0.2748633565397842</v>
      </c>
      <c r="C5" s="10">
        <f>Assumptions!B6</f>
        <v>0.2748633565397842</v>
      </c>
      <c r="D5" s="10">
        <f>Assumptions!B6</f>
        <v>0.2748633565397842</v>
      </c>
      <c r="E5" s="10">
        <f>Assumptions!B6</f>
        <v>0.2748633565397842</v>
      </c>
      <c r="F5" s="10">
        <f>Assumptions!B6</f>
        <v>0.2748633565397842</v>
      </c>
    </row>
    <row r="6" spans="1:6" x14ac:dyDescent="0.25">
      <c r="A6" t="s">
        <v>43</v>
      </c>
      <c r="B6" s="18">
        <f>Assumptions!B29*(1+B5)</f>
        <v>2994780235.9842505</v>
      </c>
      <c r="C6" s="18">
        <f>B6*(1+C5)</f>
        <v>3817935583.7458887</v>
      </c>
      <c r="D6" s="18">
        <f>C6*(1+D5)</f>
        <v>4867346173.346964</v>
      </c>
      <c r="E6" s="18">
        <f>D6*(1+E5)</f>
        <v>6205201279.9941845</v>
      </c>
      <c r="F6" s="18">
        <f>E6*(1+F5)</f>
        <v>7910783731.818352</v>
      </c>
    </row>
    <row r="7" spans="1:6" x14ac:dyDescent="0.25">
      <c r="A7" t="s">
        <v>5</v>
      </c>
      <c r="B7" s="10">
        <f>Assumptions!B7</f>
        <v>0.1311447245802183</v>
      </c>
      <c r="C7" s="10">
        <f>Assumptions!B7</f>
        <v>0.1311447245802183</v>
      </c>
      <c r="D7" s="10">
        <f>Assumptions!B7</f>
        <v>0.1311447245802183</v>
      </c>
      <c r="E7" s="10">
        <f>Assumptions!B7</f>
        <v>0.1311447245802183</v>
      </c>
      <c r="F7" s="10">
        <f>Assumptions!B7</f>
        <v>0.1311447245802183</v>
      </c>
    </row>
    <row r="8" spans="1:6" x14ac:dyDescent="0.25">
      <c r="A8" t="s">
        <v>44</v>
      </c>
      <c r="B8" s="18">
        <f>B6*B7</f>
        <v>392749629.2264357</v>
      </c>
      <c r="C8" s="18">
        <f>C6*C7</f>
        <v>500702110.5953696</v>
      </c>
      <c r="D8" s="18">
        <f>D6*D7</f>
        <v>638326773.340167</v>
      </c>
      <c r="E8" s="18">
        <f>E6*E7</f>
        <v>813779412.8296554</v>
      </c>
      <c r="F8" s="18">
        <f>F6*F7</f>
        <v>1037457553.7229893</v>
      </c>
    </row>
    <row r="9" spans="1:6" x14ac:dyDescent="0.25">
      <c r="A9" t="s">
        <v>45</v>
      </c>
      <c r="B9" s="18">
        <f>B8*(1-Assumptions!B8)</f>
        <v>275502714.3537511</v>
      </c>
      <c r="C9" s="18">
        <f>C8*(1-Assumptions!B8)</f>
        <v>351228315.15684456</v>
      </c>
      <c r="D9" s="18">
        <f>D8*(1-Assumptions!B8)</f>
        <v>447768108.77266794</v>
      </c>
      <c r="E9" s="18">
        <f>E8*(1-Assumptions!B8)</f>
        <v>570843154.1013947</v>
      </c>
      <c r="F9" s="18">
        <f>F8*(1-Assumptions!B8)</f>
        <v>727747019.4954613</v>
      </c>
    </row>
    <row r="10" spans="1:6" x14ac:dyDescent="0.25">
      <c r="A10" t="s">
        <v>46</v>
      </c>
      <c r="B10" s="18">
        <f>B6*Assumptions!B9</f>
        <v>746721313.5603689</v>
      </c>
      <c r="C10" s="18">
        <f>C6*Assumptions!B9</f>
        <v>951967640.2053686</v>
      </c>
      <c r="D10" s="18">
        <f>D6*Assumptions!B9</f>
        <v>1213628661.1094737</v>
      </c>
      <c r="E10" s="18">
        <f>E6*Assumptions!B9</f>
        <v>1547210708.494908</v>
      </c>
      <c r="F10" s="18">
        <f>F6*Assumptions!B9</f>
        <v>1972482237.106116</v>
      </c>
    </row>
    <row r="11" spans="1:6" x14ac:dyDescent="0.25">
      <c r="A11" t="s">
        <v>47</v>
      </c>
      <c r="B11" s="18">
        <f>-B6*Assumptions!B10</f>
        <v>-715829630.383418</v>
      </c>
      <c r="C11" s="18">
        <f>-C6*Assumptions!B10</f>
        <v>-912584965.3012373</v>
      </c>
      <c r="D11" s="18">
        <f>-D6*Assumptions!B10</f>
        <v>-1163421131.9916778</v>
      </c>
      <c r="E11" s="18">
        <f>-E6*Assumptions!B10</f>
        <v>-1483202969.4002256</v>
      </c>
      <c r="F11" s="18">
        <f>-F6*Assumptions!B10</f>
        <v>-1890881115.9993467</v>
      </c>
    </row>
    <row r="12" spans="1:6" x14ac:dyDescent="0.25">
      <c r="A12" t="s">
        <v>48</v>
      </c>
      <c r="B12" s="18">
        <f>-(B6-Assumptions!B29)*Assumptions!B11</f>
        <v>26010378.080759633</v>
      </c>
      <c r="C12" s="18">
        <f>-(C6-B6)*Assumptions!B11</f>
        <v>33159677.904906057</v>
      </c>
      <c r="D12" s="18">
        <f>-(D6-C6)*Assumptions!B11</f>
        <v>42274058.275626644</v>
      </c>
      <c r="E12" s="18">
        <f>-(E6-D6)*Assumptions!B11</f>
        <v>53893647.827823825</v>
      </c>
      <c r="F12" s="18">
        <f>-(F6-E6)*Assumptions!B11</f>
        <v>68707036.76595256</v>
      </c>
    </row>
    <row r="13" spans="1:6" x14ac:dyDescent="0.25">
      <c r="A13" s="19" t="s">
        <v>49</v>
      </c>
      <c r="B13" s="20">
        <f>B9+B10+B11+B12</f>
        <v>332404775.61146164</v>
      </c>
      <c r="C13" s="20">
        <f>C9+C10+C11+C12</f>
        <v>423770667.9658818</v>
      </c>
      <c r="D13" s="20">
        <f>D9+D10+D11+D12</f>
        <v>540249696.1660905</v>
      </c>
      <c r="E13" s="20">
        <f>E9+E10+E11+E12</f>
        <v>688744541.023901</v>
      </c>
      <c r="F13" s="20">
        <f>F9+F10+F11+F12</f>
        <v>878055177.3681831</v>
      </c>
    </row>
    <row r="14" spans="1:6" x14ac:dyDescent="0.25">
      <c r="A14" t="s">
        <v>50</v>
      </c>
      <c r="B14" s="21">
        <f>1/(1+Assumptions!$B$26)^(1-0.5*Assumptions!$B$32)</f>
        <v>0.9405735264033749</v>
      </c>
      <c r="C14" s="21">
        <f>1/(1+Assumptions!$B$26)^(2-0.5*Assumptions!$B$32)</f>
        <v>0.8321052315684674</v>
      </c>
      <c r="D14" s="21">
        <f>1/(1+Assumptions!$B$26)^(3-0.5*Assumptions!$B$32)</f>
        <v>0.73614565684328</v>
      </c>
      <c r="E14" s="21">
        <f>1/(1+Assumptions!$B$26)^(4-0.5*Assumptions!$B$32)</f>
        <v>0.6512522785943268</v>
      </c>
      <c r="F14" s="21">
        <f>1/(1+Assumptions!$B$26)^(5-0.5*Assumptions!$B$32)</f>
        <v>0.5761489270928303</v>
      </c>
    </row>
    <row r="15" spans="1:6" x14ac:dyDescent="0.25">
      <c r="A15" s="19" t="s">
        <v>51</v>
      </c>
      <c r="B15" s="20">
        <f>B13*B14</f>
        <v>312651131.99019504</v>
      </c>
      <c r="C15" s="20">
        <f>C13*C14</f>
        <v>352621789.7996742</v>
      </c>
      <c r="D15" s="20">
        <f>D13*D14</f>
        <v>397702467.4435691</v>
      </c>
      <c r="E15" s="20">
        <f>E13*E14</f>
        <v>448546451.7112193</v>
      </c>
      <c r="F15" s="20">
        <f>F13*F14</f>
        <v>505890548.3689835</v>
      </c>
    </row>
    <row r="17" spans="1:2" x14ac:dyDescent="0.25">
      <c r="A17" s="22" t="s">
        <v>52</v>
      </c>
      <c r="B17" s="23">
        <f>SUM(B15:F15)</f>
        <v>2017412389.3136413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878055177.3681831</v>
      </c>
    </row>
    <row r="5" spans="1:2" x14ac:dyDescent="0.25">
      <c r="A5" t="s">
        <v>56</v>
      </c>
      <c r="B5" s="18">
        <f>IF(Assumptions!$B$33=0,B4,B4-Forecast!F11-Forecast!F10-Forecast!F12)</f>
        <v>727747019.4954613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0.10287537080106576</v>
      </c>
    </row>
    <row r="7" spans="1:2" x14ac:dyDescent="0.25">
      <c r="A7" t="s">
        <v>58</v>
      </c>
      <c r="B7" s="18">
        <f>-MAX(Forecast!F9,0)*B6</f>
        <v>-74867244.47996601</v>
      </c>
    </row>
    <row r="8" spans="1:2" x14ac:dyDescent="0.25">
      <c r="A8" t="s">
        <v>59</v>
      </c>
      <c r="B8" s="18">
        <f>IF(OR(Assumptions!$B$33=0,Assumptions!B12&lt;=0),B5,MAX(B5+B7,0))</f>
        <v>652879775.0154953</v>
      </c>
    </row>
    <row r="9" spans="1:2" x14ac:dyDescent="0.25">
      <c r="A9" t="s">
        <v>60</v>
      </c>
      <c r="B9" s="18">
        <f>B8*(1+Assumptions!B12)/(Assumptions!B26-Assumptions!B12)</f>
        <v>6351931504.160757</v>
      </c>
    </row>
    <row r="10" spans="1:2" x14ac:dyDescent="0.25">
      <c r="A10" t="s">
        <v>61</v>
      </c>
      <c r="B10" s="18">
        <f>B9/(1+Assumptions!B26)^(5-0.5*Assumptions!B32)</f>
        <v>3659658521.089368</v>
      </c>
    </row>
    <row r="11" spans="1:2" x14ac:dyDescent="0.25">
      <c r="A11" t="s">
        <v>62</v>
      </c>
      <c r="B11" s="18">
        <f>Forecast!B17+B10</f>
        <v>5677070910.403009</v>
      </c>
    </row>
    <row r="12" spans="1:2" x14ac:dyDescent="0.25">
      <c r="A12" t="s">
        <v>63</v>
      </c>
      <c r="B12" s="18">
        <f>-Assumptions!B30</f>
        <v>1037434000</v>
      </c>
    </row>
    <row r="13" spans="1:2" x14ac:dyDescent="0.25">
      <c r="A13" t="s">
        <v>64</v>
      </c>
      <c r="B13" s="18">
        <f>B11+B12</f>
        <v>6714504910.403009</v>
      </c>
    </row>
    <row r="14" spans="1:2" x14ac:dyDescent="0.25">
      <c r="A14" s="19" t="s">
        <v>65</v>
      </c>
      <c r="B14" s="24">
        <f>B13/Assumptions!B31</f>
        <v>8.81864088976822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3009939790.8291054</v>
      </c>
    </row>
    <row r="18" spans="1:2" x14ac:dyDescent="0.25">
      <c r="A18" t="s">
        <v>60</v>
      </c>
      <c r="B18" s="18">
        <f>B17*Assumptions!B13</f>
        <v>10988551713.5762</v>
      </c>
    </row>
    <row r="19" spans="1:2" x14ac:dyDescent="0.25">
      <c r="A19" t="s">
        <v>61</v>
      </c>
      <c r="B19" s="18">
        <f>B18/(1+Assumptions!B26)^(5-0.5*Assumptions!B32)</f>
        <v>6331042280.08101</v>
      </c>
    </row>
    <row r="20" spans="1:2" x14ac:dyDescent="0.25">
      <c r="A20" t="s">
        <v>62</v>
      </c>
      <c r="B20" s="18">
        <f>Forecast!B17+B19</f>
        <v>8348454669.394651</v>
      </c>
    </row>
    <row r="21" spans="1:2" x14ac:dyDescent="0.25">
      <c r="A21" t="s">
        <v>63</v>
      </c>
      <c r="B21" s="18">
        <f>-Assumptions!B30</f>
        <v>1037434000</v>
      </c>
    </row>
    <row r="22" spans="1:2" x14ac:dyDescent="0.25">
      <c r="A22" t="s">
        <v>64</v>
      </c>
      <c r="B22" s="18">
        <f>B20+B21</f>
        <v>9385888669.394651</v>
      </c>
    </row>
    <row r="23" spans="1:2" x14ac:dyDescent="0.25">
      <c r="A23" s="19" t="s">
        <v>65</v>
      </c>
      <c r="B23" s="25">
        <f>B22/Assumptions!B31</f>
        <v>12.327160782695437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8.81864088976822</v>
      </c>
    </row>
    <row r="29" spans="1:2" x14ac:dyDescent="0.25">
      <c r="A29" s="19" t="s">
        <v>73</v>
      </c>
      <c r="B29" s="12">
        <f>B28/B26-1</f>
        <v>0.13059498586772067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0.110354</v>
      </c>
      <c r="B5" s="31">
        <v>10.10583396309843</v>
      </c>
      <c r="C5" s="31">
        <v>10.328026952377568</v>
      </c>
      <c r="D5" s="31">
        <v>10.574813380676277</v>
      </c>
      <c r="E5" s="31">
        <v>10.85078420283556</v>
      </c>
      <c r="F5" s="31">
        <v>11.16174887698516</v>
      </c>
    </row>
    <row r="6" spans="1:6" x14ac:dyDescent="0.25">
      <c r="A6" s="30">
        <v>0.120354</v>
      </c>
      <c r="B6" s="31">
        <v>9.25865307711192</v>
      </c>
      <c r="C6" s="31">
        <v>9.423723052733555</v>
      </c>
      <c r="D6" s="31">
        <v>9.604867586556372</v>
      </c>
      <c r="E6" s="31">
        <v>9.804755275134125</v>
      </c>
      <c r="F6" s="31">
        <v>10.026680015897801</v>
      </c>
    </row>
    <row r="7" spans="1:6" x14ac:dyDescent="0.25">
      <c r="A7" s="30">
        <v>0.130354</v>
      </c>
      <c r="B7" s="31">
        <v>8.558536061892186</v>
      </c>
      <c r="C7" s="31">
        <v>8.683211351003708</v>
      </c>
      <c r="D7" s="32">
        <v>8.818645122179923</v>
      </c>
      <c r="E7" s="31">
        <v>8.966445455128373</v>
      </c>
      <c r="F7" s="31">
        <v>9.128557715817797</v>
      </c>
    </row>
    <row r="8" spans="1:6" x14ac:dyDescent="0.25">
      <c r="A8" s="30">
        <v>0.140354</v>
      </c>
      <c r="B8" s="31">
        <v>7.97031035491016</v>
      </c>
      <c r="C8" s="31">
        <v>8.065702381722677</v>
      </c>
      <c r="D8" s="31">
        <v>8.168419854646062</v>
      </c>
      <c r="E8" s="31">
        <v>8.279458493741792</v>
      </c>
      <c r="F8" s="31">
        <v>8.400003042755568</v>
      </c>
    </row>
    <row r="9" spans="1:6" x14ac:dyDescent="0.25">
      <c r="A9" s="30">
        <v>0.150354</v>
      </c>
      <c r="B9" s="31">
        <v>7.469195010613804</v>
      </c>
      <c r="C9" s="31">
        <v>7.542919663423713</v>
      </c>
      <c r="D9" s="31">
        <v>7.6216903574827635</v>
      </c>
      <c r="E9" s="31">
        <v>7.706135992692391</v>
      </c>
      <c r="F9" s="31">
        <v>7.796994507201758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2349099000</v>
      </c>
      <c r="C5" s="18">
        <v>1647412000</v>
      </c>
      <c r="D5" s="18">
        <v>1262814000</v>
      </c>
      <c r="E5" s="18">
        <v>1133732000</v>
      </c>
      <c r="F5" s="8" t="s">
        <v>84</v>
      </c>
    </row>
    <row r="6" spans="1:6" x14ac:dyDescent="0.25">
      <c r="A6" t="s">
        <v>44</v>
      </c>
      <c r="B6" s="18">
        <v>1001958000</v>
      </c>
      <c r="C6" s="18">
        <v>377286000</v>
      </c>
      <c r="D6" s="18">
        <v>-146622000</v>
      </c>
      <c r="E6" s="18">
        <v>-16847000</v>
      </c>
      <c r="F6" s="8" t="s">
        <v>85</v>
      </c>
    </row>
    <row r="7" spans="1:6" x14ac:dyDescent="0.25">
      <c r="A7" t="s">
        <v>86</v>
      </c>
      <c r="B7" s="18">
        <v>334861000</v>
      </c>
      <c r="C7" s="18">
        <v>395766000</v>
      </c>
      <c r="D7" s="18">
        <v>347023000</v>
      </c>
      <c r="E7" s="18">
        <v>385218000</v>
      </c>
      <c r="F7" s="8" t="s">
        <v>87</v>
      </c>
    </row>
    <row r="8" spans="1:6" x14ac:dyDescent="0.25">
      <c r="A8" t="s">
        <v>88</v>
      </c>
      <c r="B8" s="18">
        <v>440688000</v>
      </c>
      <c r="C8" s="18">
        <v>275903000</v>
      </c>
      <c r="D8" s="18">
        <v>273824000</v>
      </c>
      <c r="E8" s="18">
        <v>435570000</v>
      </c>
      <c r="F8" s="8" t="s">
        <v>89</v>
      </c>
    </row>
    <row r="9" spans="1:6" x14ac:dyDescent="0.25">
      <c r="A9" t="s">
        <v>90</v>
      </c>
      <c r="B9" s="18">
        <v>-1416000</v>
      </c>
      <c r="C9" s="18">
        <v>-15493000</v>
      </c>
      <c r="D9" s="18">
        <v>-28137000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101685000</v>
      </c>
      <c r="C10" s="18">
        <v>119158000</v>
      </c>
      <c r="D10" s="18">
        <v>366427000</v>
      </c>
      <c r="E10" s="18">
        <v>383545000</v>
      </c>
      <c r="F10" s="8" t="s">
        <v>93</v>
      </c>
    </row>
    <row r="11" spans="1:6" x14ac:dyDescent="0.25">
      <c r="A11" t="s">
        <v>94</v>
      </c>
      <c r="B11" s="18">
        <v>1139119000</v>
      </c>
      <c r="C11" s="18">
        <v>505486000</v>
      </c>
      <c r="D11" s="18">
        <v>277936000</v>
      </c>
      <c r="E11" s="18">
        <v>205176000</v>
      </c>
      <c r="F11" s="8" t="s">
        <v>95</v>
      </c>
    </row>
    <row r="12" spans="1:6" x14ac:dyDescent="0.25">
      <c r="A12" t="s">
        <v>32</v>
      </c>
      <c r="B12" s="34">
        <v>761399063</v>
      </c>
      <c r="C12" s="34">
        <v>761544910</v>
      </c>
      <c r="D12" s="34">
        <v>755339000</v>
      </c>
      <c r="E12" s="34">
        <v>754840000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2026-09-19T01:04:22Z</dcterms:modified>
</cp:coreProperties>
</file>