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<sst xmlns="http://schemas.openxmlformats.org/spreadsheetml/2006/main" count="111" uniqueCount="99">
  <si>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Republic Services, Inc. (RSG)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</si>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</sst>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0.07084929833650078</v>
      </c>
    </row>
    <row r="7" spans="1:2" x14ac:dyDescent="0.25">
      <c r="A7" t="s">
        <v>5</v>
      </c>
      <c r="B7" s="6">
        <v>0.1919066767781262</v>
      </c>
    </row>
    <row r="8" spans="1:2" x14ac:dyDescent="0.25">
      <c r="A8" t="s">
        <v>6</v>
      </c>
      <c r="B8" s="6">
        <v>0.18158885301316777</v>
      </c>
    </row>
    <row r="9" spans="1:2" x14ac:dyDescent="0.25">
      <c r="A9" t="s">
        <v>7</v>
      </c>
      <c r="B9" s="6">
        <v>0.11024704505406892</v>
      </c>
    </row>
    <row r="10" spans="1:2" x14ac:dyDescent="0.25">
      <c r="A10" t="s">
        <v>8</v>
      </c>
      <c r="B10" s="6">
        <v>0.11151152632836003</v>
      </c>
    </row>
    <row r="11" spans="1:2" x14ac:dyDescent="0.25">
      <c r="A11" t="s">
        <v>9</v>
      </c>
      <c r="B11" s="6">
        <v>0.2436738519212746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15.334450931809524</v>
      </c>
    </row>
    <row r="14" spans="1:3" x14ac:dyDescent="0.25">
      <c r="A14" t="s">
        <v>12</v>
      </c>
      <c r="B14" s="6">
        <v>0.10241097812502024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0.598</v>
      </c>
      <c r="C19" s="8" t="s">
        <v>19</v>
      </c>
    </row>
    <row r="20" spans="1:2" x14ac:dyDescent="0.25">
      <c r="A20" t="s">
        <v>20</v>
      </c>
      <c r="B20" s="10">
        <f>B17+B19*B18</f>
        <v>0.08287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66775867392</v>
      </c>
    </row>
    <row r="23" spans="1:2" x14ac:dyDescent="0.25">
      <c r="A23" t="s">
        <v>24</v>
      </c>
      <c r="B23" s="11">
        <v>13806000000</v>
      </c>
    </row>
    <row r="24" spans="1:2" x14ac:dyDescent="0.25">
      <c r="A24" t="s">
        <v>25</v>
      </c>
      <c r="B24" s="10">
        <f>B22/(B22+B23)</f>
        <v>0.828671133508993</v>
      </c>
    </row>
    <row r="25" spans="1:2" x14ac:dyDescent="0.25">
      <c r="A25" t="s">
        <v>26</v>
      </c>
      <c r="B25" s="10">
        <f>1-B24</f>
        <v>0.17132886649100698</v>
      </c>
    </row>
    <row r="26" spans="1:2" x14ac:dyDescent="0.25">
      <c r="A26" t="s">
        <v>27</v>
      </c>
      <c r="B26" s="12">
        <f>B24*B20+B25*B21*(1-B8)</f>
        <v>0.07568004519165045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16591000000</v>
      </c>
      <c r="C29" s="8" t="s">
        <v>30</v>
      </c>
    </row>
    <row r="30" spans="1:2" x14ac:dyDescent="0.25">
      <c r="A30" t="s">
        <v>31</v>
      </c>
      <c r="B30" s="11">
        <v>13730000000</v>
      </c>
    </row>
    <row r="31" spans="1:2" x14ac:dyDescent="0.25">
      <c r="A31" t="s">
        <v>32</v>
      </c>
      <c r="B31" s="13">
        <v>312200000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0.07084929833650078</v>
      </c>
      <c r="C5" s="10">
        <f>Assumptions!B6</f>
        <v>0.07084929833650078</v>
      </c>
      <c r="D5" s="10">
        <f>Assumptions!B6</f>
        <v>0.07084929833650078</v>
      </c>
      <c r="E5" s="10">
        <f>Assumptions!B6</f>
        <v>0.07084929833650078</v>
      </c>
      <c r="F5" s="10">
        <f>Assumptions!B6</f>
        <v>0.07084929833650078</v>
      </c>
    </row>
    <row r="6" spans="1:6" x14ac:dyDescent="0.25">
      <c r="A6" t="s">
        <v>43</v>
      </c>
      <c r="B6" s="18">
        <f>Assumptions!B29*(1+B5)</f>
        <v>17766460708.700886</v>
      </c>
      <c r="C6" s="18">
        <f>B6*(1+C5)</f>
        <v>19025201983.835354</v>
      </c>
      <c r="D6" s="18">
        <f>C6*(1+D5)</f>
        <v>20373124195.100292</v>
      </c>
      <c r="E6" s="18">
        <f>D6*(1+E5)</f>
        <v>21816545749.245537</v>
      </c>
      <c r="F6" s="18">
        <f>E6*(1+F5)</f>
        <v>23362232707.705753</v>
      </c>
    </row>
    <row r="7" spans="1:6" x14ac:dyDescent="0.25">
      <c r="A7" t="s">
        <v>5</v>
      </c>
      <c r="B7" s="10">
        <f>Assumptions!B7</f>
        <v>0.1919066767781262</v>
      </c>
      <c r="C7" s="10">
        <f>Assumptions!B7</f>
        <v>0.1919066767781262</v>
      </c>
      <c r="D7" s="10">
        <f>Assumptions!B7</f>
        <v>0.1919066767781262</v>
      </c>
      <c r="E7" s="10">
        <f>Assumptions!B7</f>
        <v>0.1919066767781262</v>
      </c>
      <c r="F7" s="10">
        <f>Assumptions!B7</f>
        <v>0.1919066767781262</v>
      </c>
    </row>
    <row r="8" spans="1:6" x14ac:dyDescent="0.25">
      <c r="A8" t="s">
        <v>44</v>
      </c>
      <c r="B8" s="18">
        <f>B6*B7</f>
        <v>3409502432.71594</v>
      </c>
      <c r="C8" s="18">
        <f>C6*C7</f>
        <v>3651063287.750457</v>
      </c>
      <c r="D8" s="18">
        <f>D6*D7</f>
        <v>3909738559.8697343</v>
      </c>
      <c r="E8" s="18">
        <f>E6*E7</f>
        <v>4186740793.5156665</v>
      </c>
      <c r="F8" s="18">
        <f>F6*F7</f>
        <v>4483368441.053056</v>
      </c>
    </row>
    <row r="9" spans="1:6" x14ac:dyDescent="0.25">
      <c r="A9" t="s">
        <v>45</v>
      </c>
      <c r="B9" s="18">
        <f>B8*(1-Assumptions!B8)</f>
        <v>2790374796.613447</v>
      </c>
      <c r="C9" s="18">
        <f>C8*(1-Assumptions!B8)</f>
        <v>2988070893.049366</v>
      </c>
      <c r="D9" s="18">
        <f>D8*(1-Assumptions!B8)</f>
        <v>3199773619.201635</v>
      </c>
      <c r="E9" s="18">
        <f>E8*(1-Assumptions!B8)</f>
        <v>3426475334.957717</v>
      </c>
      <c r="F9" s="18">
        <f>F8*(1-Assumptions!B8)</f>
        <v>3669238708.2067976</v>
      </c>
    </row>
    <row r="10" spans="1:6" x14ac:dyDescent="0.25">
      <c r="A10" t="s">
        <v>46</v>
      </c>
      <c r="B10" s="18">
        <f>B6*Assumptions!B9</f>
        <v>1958699794.2034917</v>
      </c>
      <c r="C10" s="18">
        <f>C6*Assumptions!B9</f>
        <v>2097472300.2746577</v>
      </c>
      <c r="D10" s="18">
        <f>D6*Assumptions!B9</f>
        <v>2246076741.0293636</v>
      </c>
      <c r="E10" s="18">
        <f>E6*Assumptions!B9</f>
        <v>2405209702.141228</v>
      </c>
      <c r="F10" s="18">
        <f>F6*Assumptions!B9</f>
        <v>2575617121.8900785</v>
      </c>
    </row>
    <row r="11" spans="1:6" x14ac:dyDescent="0.25">
      <c r="A11" t="s">
        <v>47</v>
      </c>
      <c r="B11" s="18">
        <f>-B6*Assumptions!B10</f>
        <v>-1981165151.0800729</v>
      </c>
      <c r="C11" s="18">
        <f>-C6*Assumptions!B10</f>
        <v>-2121529311.9228237</v>
      </c>
      <c r="D11" s="18">
        <f>-D6*Assumptions!B10</f>
        <v>-2271838175.072875</v>
      </c>
      <c r="E11" s="18">
        <f>-E6*Assumptions!B10</f>
        <v>-2432796315.710865</v>
      </c>
      <c r="F11" s="18">
        <f>-F6*Assumptions!B10</f>
        <v>-2605158227.674604</v>
      </c>
    </row>
    <row r="12" spans="1:6" x14ac:dyDescent="0.25">
      <c r="A12" t="s">
        <v>48</v>
      </c>
      <c r="B12" s="18">
        <f>-(B6-Assumptions!B29)*Assumptions!B11</f>
        <v>-286429038.6712561</v>
      </c>
      <c r="C12" s="18">
        <f>-(C6-B6)*Assumptions!B11</f>
        <v>-306722335.08431274</v>
      </c>
      <c r="D12" s="18">
        <f>-(D6-C6)*Assumptions!B11</f>
        <v>-328453397.3091696</v>
      </c>
      <c r="E12" s="18">
        <f>-(E6-D6)*Assumptions!B11</f>
        <v>-351724090.0447644</v>
      </c>
      <c r="F12" s="18">
        <f>-(F6-E6)*Assumptions!B11</f>
        <v>-376643495.0324801</v>
      </c>
    </row>
    <row r="13" spans="1:6" x14ac:dyDescent="0.25">
      <c r="A13" s="19" t="s">
        <v>49</v>
      </c>
      <c r="B13" s="20">
        <f>B9+B10+B11+B12</f>
        <v>2481480401.0656095</v>
      </c>
      <c r="C13" s="20">
        <f>C9+C10+C11+C12</f>
        <v>2657291546.3168874</v>
      </c>
      <c r="D13" s="20">
        <f>D9+D10+D11+D12</f>
        <v>2845558787.848954</v>
      </c>
      <c r="E13" s="20">
        <f>E9+E10+E11+E12</f>
        <v>3047164631.343316</v>
      </c>
      <c r="F13" s="20">
        <f>F9+F10+F11+F12</f>
        <v>3263054107.389792</v>
      </c>
    </row>
    <row r="14" spans="1:6" x14ac:dyDescent="0.25">
      <c r="A14" t="s">
        <v>50</v>
      </c>
      <c r="B14" s="21">
        <f>1/(1+Assumptions!$B$26)^(1-0.5*Assumptions!$B$32)</f>
        <v>0.9641807221083152</v>
      </c>
      <c r="C14" s="21">
        <f>1/(1+Assumptions!$B$26)^(2-0.5*Assumptions!$B$32)</f>
        <v>0.8963452714571182</v>
      </c>
      <c r="D14" s="21">
        <f>1/(1+Assumptions!$B$26)^(3-0.5*Assumptions!$B$32)</f>
        <v>0.8332824202362323</v>
      </c>
      <c r="E14" s="21">
        <f>1/(1+Assumptions!$B$26)^(4-0.5*Assumptions!$B$32)</f>
        <v>0.7746563896588499</v>
      </c>
      <c r="F14" s="21">
        <f>1/(1+Assumptions!$B$26)^(5-0.5*Assumptions!$B$32)</f>
        <v>0.7201550248343892</v>
      </c>
    </row>
    <row r="15" spans="1:6" x14ac:dyDescent="0.25">
      <c r="A15" s="19" t="s">
        <v>51</v>
      </c>
      <c r="B15" s="20">
        <f>B13*B14</f>
        <v>2392595564.997071</v>
      </c>
      <c r="C15" s="20">
        <f>C13*C14</f>
        <v>2381850712.4241157</v>
      </c>
      <c r="D15" s="20">
        <f>D13*D14</f>
        <v>2371154113.663256</v>
      </c>
      <c r="E15" s="20">
        <f>E13*E14</f>
        <v>2360505552.0125537</v>
      </c>
      <c r="F15" s="20">
        <f>F13*F14</f>
        <v>2349904811.7432513</v>
      </c>
    </row>
    <row r="17" spans="1:2" x14ac:dyDescent="0.25">
      <c r="A17" s="22" t="s">
        <v>52</v>
      </c>
      <c r="B17" s="23">
        <f>SUM(B15:F15)</f>
        <v>11856010754.840248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3263054107.389792</v>
      </c>
    </row>
    <row r="5" spans="1:2" x14ac:dyDescent="0.25">
      <c r="A5" t="s">
        <v>56</v>
      </c>
      <c r="B5" s="18">
        <f>IF(Assumptions!$B$33=0,B4,B4-Forecast!F11-Forecast!F10-Forecast!F12)</f>
        <v>3669238708.2067976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0.24411445391607092</v>
      </c>
    </row>
    <row r="7" spans="1:2" x14ac:dyDescent="0.25">
      <c r="A7" t="s">
        <v>58</v>
      </c>
      <c r="B7" s="18">
        <f>-MAX(Forecast!F9,0)*B6</f>
        <v>-895714203.5416119</v>
      </c>
    </row>
    <row r="8" spans="1:2" x14ac:dyDescent="0.25">
      <c r="A8" t="s">
        <v>59</v>
      </c>
      <c r="B8" s="18">
        <f>IF(OR(Assumptions!$B$33=0,Assumptions!B12&lt;=0),B5,MAX(B5+B7,0))</f>
        <v>2773524504.665186</v>
      </c>
    </row>
    <row r="9" spans="1:2" x14ac:dyDescent="0.25">
      <c r="A9" t="s">
        <v>60</v>
      </c>
      <c r="B9" s="18">
        <f>B8*(1+Assumptions!B12)/(Assumptions!B26-Assumptions!B12)</f>
        <v>56094318908.58254</v>
      </c>
    </row>
    <row r="10" spans="1:2" x14ac:dyDescent="0.25">
      <c r="A10" t="s">
        <v>61</v>
      </c>
      <c r="B10" s="18">
        <f>B9/(1+Assumptions!B26)^(5-0.5*Assumptions!B32)</f>
        <v>40396605626.678406</v>
      </c>
    </row>
    <row r="11" spans="1:2" x14ac:dyDescent="0.25">
      <c r="A11" t="s">
        <v>62</v>
      </c>
      <c r="B11" s="18">
        <f>Forecast!B17+B10</f>
        <v>52252616381.518654</v>
      </c>
    </row>
    <row r="12" spans="1:2" x14ac:dyDescent="0.25">
      <c r="A12" t="s">
        <v>63</v>
      </c>
      <c r="B12" s="18">
        <f>-Assumptions!B30</f>
        <v>-13730000000</v>
      </c>
    </row>
    <row r="13" spans="1:2" x14ac:dyDescent="0.25">
      <c r="A13" t="s">
        <v>64</v>
      </c>
      <c r="B13" s="18">
        <f>B11+B12</f>
        <v>38522616381.518654</v>
      </c>
    </row>
    <row r="14" spans="1:2" x14ac:dyDescent="0.25">
      <c r="A14" s="19" t="s">
        <v>65</v>
      </c>
      <c r="B14" s="24">
        <f>B13/Assumptions!B31</f>
        <v>123.39082761537045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7058985562.943134</v>
      </c>
    </row>
    <row r="18" spans="1:2" x14ac:dyDescent="0.25">
      <c r="A18" t="s">
        <v>60</v>
      </c>
      <c r="B18" s="18">
        <f>B17*Assumptions!B13</f>
        <v>108245667743.30333</v>
      </c>
    </row>
    <row r="19" spans="1:2" x14ac:dyDescent="0.25">
      <c r="A19" t="s">
        <v>61</v>
      </c>
      <c r="B19" s="18">
        <f>B18/(1+Assumptions!B26)^(5-0.5*Assumptions!B32)</f>
        <v>77953661541.89365</v>
      </c>
    </row>
    <row r="20" spans="1:2" x14ac:dyDescent="0.25">
      <c r="A20" t="s">
        <v>62</v>
      </c>
      <c r="B20" s="18">
        <f>Forecast!B17+B19</f>
        <v>89809672296.73389</v>
      </c>
    </row>
    <row r="21" spans="1:2" x14ac:dyDescent="0.25">
      <c r="A21" t="s">
        <v>63</v>
      </c>
      <c r="B21" s="18">
        <f>-Assumptions!B30</f>
        <v>-13730000000</v>
      </c>
    </row>
    <row r="22" spans="1:2" x14ac:dyDescent="0.25">
      <c r="A22" t="s">
        <v>64</v>
      </c>
      <c r="B22" s="18">
        <f>B20+B21</f>
        <v>76079672296.73389</v>
      </c>
    </row>
    <row r="23" spans="1:2" x14ac:dyDescent="0.25">
      <c r="A23" s="19" t="s">
        <v>65</v>
      </c>
      <c r="B23" s="25">
        <f>B22/Assumptions!B31</f>
        <v>243.6888926865275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218.07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123.39082761537045</v>
      </c>
    </row>
    <row r="29" spans="1:2" x14ac:dyDescent="0.25">
      <c r="A29" s="19" t="s">
        <v>73</v>
      </c>
      <c r="B29" s="12">
        <f>B28/B26-1</f>
        <v>-0.4341687182309788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0.05568</v>
      </c>
      <c r="B5" s="31">
        <v>191.96278456516157</v>
      </c>
      <c r="C5" s="31">
        <v>207.69521986018336</v>
      </c>
      <c r="D5" s="31">
        <v>228.40900742903807</v>
      </c>
      <c r="E5" s="31">
        <v>257.0138156559737</v>
      </c>
      <c r="F5" s="31">
        <v>299.23330555990805</v>
      </c>
    </row>
    <row r="6" spans="1:6" x14ac:dyDescent="0.25">
      <c r="A6" s="30">
        <v>0.06568</v>
      </c>
      <c r="B6" s="31">
        <v>145.78852474392275</v>
      </c>
      <c r="C6" s="31">
        <v>153.50638834726692</v>
      </c>
      <c r="D6" s="31">
        <v>163.01552401187854</v>
      </c>
      <c r="E6" s="31">
        <v>175.06898893840258</v>
      </c>
      <c r="F6" s="31">
        <v>190.91075114928637</v>
      </c>
    </row>
    <row r="7" spans="1:6" x14ac:dyDescent="0.25">
      <c r="A7" s="30">
        <v>0.07568</v>
      </c>
      <c r="B7" s="31">
        <v>114.83702089801537</v>
      </c>
      <c r="C7" s="31">
        <v>118.7670363491921</v>
      </c>
      <c r="D7" s="32">
        <v>123.39097143287229</v>
      </c>
      <c r="E7" s="31">
        <v>128.93668942592876</v>
      </c>
      <c r="F7" s="31">
        <v>135.7440807816714</v>
      </c>
    </row>
    <row r="8" spans="1:6" x14ac:dyDescent="0.25">
      <c r="A8" s="30">
        <v>0.08568</v>
      </c>
      <c r="B8" s="31">
        <v>92.64692138077427</v>
      </c>
      <c r="C8" s="31">
        <v>94.59426243659452</v>
      </c>
      <c r="D8" s="31">
        <v>96.79720075662746</v>
      </c>
      <c r="E8" s="31">
        <v>99.32459336248213</v>
      </c>
      <c r="F8" s="31">
        <v>102.27247052817842</v>
      </c>
    </row>
    <row r="9" spans="1:6" x14ac:dyDescent="0.25">
      <c r="A9" s="30">
        <v>0.09568</v>
      </c>
      <c r="B9" s="31">
        <v>75.96031912726637</v>
      </c>
      <c r="C9" s="31">
        <v>76.8000891267375</v>
      </c>
      <c r="D9" s="31">
        <v>77.70485834143045</v>
      </c>
      <c r="E9" s="31">
        <v>78.68947129370096</v>
      </c>
      <c r="F9" s="31">
        <v>79.77366522915992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16591000000</v>
      </c>
      <c r="C5" s="18">
        <v>16032000000</v>
      </c>
      <c r="D5" s="18">
        <v>14965000000</v>
      </c>
      <c r="E5" s="18">
        <v>13511000000</v>
      </c>
      <c r="F5" s="8" t="s">
        <v>84</v>
      </c>
    </row>
    <row r="6" spans="1:6" x14ac:dyDescent="0.25">
      <c r="A6" t="s">
        <v>44</v>
      </c>
      <c r="B6" s="18">
        <v>3322000000</v>
      </c>
      <c r="C6" s="18">
        <v>3224000000</v>
      </c>
      <c r="D6" s="18">
        <v>2809000000</v>
      </c>
      <c r="E6" s="18">
        <v>2413000000</v>
      </c>
      <c r="F6" s="8" t="s">
        <v>85</v>
      </c>
    </row>
    <row r="7" spans="1:6" x14ac:dyDescent="0.25">
      <c r="A7" t="s">
        <v>86</v>
      </c>
      <c r="B7" s="18">
        <v>1928000000</v>
      </c>
      <c r="C7" s="18">
        <v>1784000000</v>
      </c>
      <c r="D7" s="18">
        <v>1599000000</v>
      </c>
      <c r="E7" s="18">
        <v>1441000000</v>
      </c>
      <c r="F7" s="8" t="s">
        <v>87</v>
      </c>
    </row>
    <row r="8" spans="1:6" x14ac:dyDescent="0.25">
      <c r="A8" t="s">
        <v>88</v>
      </c>
      <c r="B8" s="18">
        <v>1887000000</v>
      </c>
      <c r="C8" s="18">
        <v>1855000000</v>
      </c>
      <c r="D8" s="18">
        <v>1631000000</v>
      </c>
      <c r="E8" s="18">
        <v>1454000000</v>
      </c>
      <c r="F8" s="8" t="s">
        <v>89</v>
      </c>
    </row>
    <row r="9" spans="1:6" x14ac:dyDescent="0.25">
      <c r="A9" t="s">
        <v>90</v>
      </c>
      <c r="B9" s="18">
        <v>235000000</v>
      </c>
      <c r="C9" s="18">
        <v>260000000</v>
      </c>
      <c r="D9" s="18">
        <v>-25000000</v>
      </c>
      <c r="E9" s="18">
        <v>112000000</v>
      </c>
      <c r="F9" s="8" t="s">
        <v>91</v>
      </c>
    </row>
    <row r="10" spans="1:6" x14ac:dyDescent="0.25">
      <c r="A10" t="s">
        <v>92</v>
      </c>
      <c r="B10" s="18">
        <v>13806000000</v>
      </c>
      <c r="C10" s="18">
        <v>12957000000</v>
      </c>
      <c r="D10" s="18">
        <v>13069000000</v>
      </c>
      <c r="E10" s="18">
        <v>12081400000</v>
      </c>
      <c r="F10" s="8" t="s">
        <v>93</v>
      </c>
    </row>
    <row r="11" spans="1:6" x14ac:dyDescent="0.25">
      <c r="A11" t="s">
        <v>94</v>
      </c>
      <c r="B11" s="18">
        <v>76000000</v>
      </c>
      <c r="C11" s="18">
        <v>74000000</v>
      </c>
      <c r="D11" s="18">
        <v>140000000</v>
      </c>
      <c r="E11" s="18">
        <v>143400000</v>
      </c>
      <c r="F11" s="8" t="s">
        <v>95</v>
      </c>
    </row>
    <row r="12" spans="1:6" x14ac:dyDescent="0.25">
      <c r="A12" t="s">
        <v>32</v>
      </c>
      <c r="B12" s="34">
        <v>312200000</v>
      </c>
      <c r="C12" s="34">
        <v>314800000</v>
      </c>
      <c r="D12" s="34">
        <v>316700000</v>
      </c>
      <c r="E12" s="34">
        <v>317100000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2026-09-19T00:07:22Z</dcterms:modified>
</cp:coreProperties>
</file>