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<sst xmlns="http://schemas.openxmlformats.org/spreadsheetml/2006/main" count="119" uniqueCount="106">
  <si>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Republic Services, Inc. (RSG)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</si>
  <si>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</si>
  <si>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</si>
  <si>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</si>
  <si>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</si>
  <si>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</si>
  <si>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</si>
  <si>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</si>
  <si>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</si>
  <si>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</si>
  <si>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</si>
  <si>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</si>
  <si>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</si>
  <si>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</si>
  <si>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</si>
  <si>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</si>
  <si>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</si>
  <si>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</si>
  <si>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</si>
  <si>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</si>
  <si>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</si>
  <si>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</si>
  <si>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</si>
  <si>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</si>
  <si>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5.8x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</si>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</sst>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0.051579959013923204</v>
      </c>
    </row>
    <row r="7" spans="1:2" x14ac:dyDescent="0.25">
      <c r="A7" t="s">
        <v>4</v>
      </c>
      <c r="B7" s="5">
        <v>0.1919066767781262</v>
      </c>
    </row>
    <row r="8" spans="1:2" x14ac:dyDescent="0.25">
      <c r="A8" t="s">
        <v>5</v>
      </c>
      <c r="B8" s="5">
        <v>0.18158885301316777</v>
      </c>
    </row>
    <row r="9" spans="1:2" x14ac:dyDescent="0.25">
      <c r="A9" t="s">
        <v>6</v>
      </c>
      <c r="B9" s="5">
        <v>0.11024704505406892</v>
      </c>
    </row>
    <row r="10" spans="1:3" x14ac:dyDescent="0.25">
      <c r="A10" t="s">
        <v>7</v>
      </c>
      <c r="B10" s="5">
        <v>0.11151152632836003</v>
      </c>
      <c r="C10" s="6" t="s">
        <v>8</v>
      </c>
    </row>
    <row r="11" spans="1:2" x14ac:dyDescent="0.25">
      <c r="A11" t="s">
        <v>9</v>
      </c>
      <c r="B11" s="5">
        <v>0.03685775712152334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16.776049444571427</v>
      </c>
    </row>
    <row r="14" spans="1:3" x14ac:dyDescent="0.25">
      <c r="A14" t="s">
        <v>12</v>
      </c>
      <c r="B14" s="5">
        <v>0.10241097812502024</v>
      </c>
      <c r="C14" s="6" t="s">
        <v>13</v>
      </c>
    </row>
    <row r="15" spans="1:3" x14ac:dyDescent="0.25">
      <c r="A15" t="s">
        <v>14</v>
      </c>
      <c r="B15" s="5">
        <v>0.11024704505406892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0.59599</v>
      </c>
      <c r="C19" s="6" t="s">
        <v>21</v>
      </c>
    </row>
    <row r="20" spans="1:2" x14ac:dyDescent="0.25">
      <c r="A20" t="s">
        <v>22</v>
      </c>
      <c r="B20" s="9">
        <f>B17+B19*B18</f>
        <v>0.074150377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74344259584</v>
      </c>
    </row>
    <row r="23" spans="1:2" x14ac:dyDescent="0.25">
      <c r="A23" t="s">
        <v>26</v>
      </c>
      <c r="B23" s="10">
        <v>13806000000</v>
      </c>
    </row>
    <row r="24" spans="1:2" x14ac:dyDescent="0.25">
      <c r="A24" t="s">
        <v>27</v>
      </c>
      <c r="B24" s="9">
        <f>B22/(B22+B23)</f>
        <v>0.843381062459107</v>
      </c>
    </row>
    <row r="25" spans="1:2" x14ac:dyDescent="0.25">
      <c r="A25" t="s">
        <v>28</v>
      </c>
      <c r="B25" s="9">
        <f>1-B24</f>
        <v>0.15661893754089296</v>
      </c>
    </row>
    <row r="26" spans="1:2" x14ac:dyDescent="0.25">
      <c r="A26" t="s">
        <v>29</v>
      </c>
      <c r="B26" s="11">
        <f>B24*B20+B25*B21*(1-B8)</f>
        <v>0.06970733933645584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16591000000</v>
      </c>
      <c r="C29" s="6" t="s">
        <v>32</v>
      </c>
    </row>
    <row r="30" spans="1:2" x14ac:dyDescent="0.25">
      <c r="A30" t="s">
        <v>33</v>
      </c>
      <c r="B30" s="10">
        <v>13730000000</v>
      </c>
    </row>
    <row r="31" spans="1:2" x14ac:dyDescent="0.25">
      <c r="A31" t="s">
        <v>34</v>
      </c>
      <c r="B31" s="12">
        <v>312200000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0.051579959013923204</v>
      </c>
      <c r="C5" s="5">
        <v>0.04743385321716209</v>
      </c>
      <c r="D5" s="5">
        <v>0.04462962156501683</v>
      </c>
      <c r="E5" s="5">
        <v>0.04182538991287157</v>
      </c>
      <c r="F5" s="5">
        <v>0.03902115826072631</v>
      </c>
      <c r="G5" s="5">
        <v>0.03621692660858104</v>
      </c>
      <c r="H5" s="5">
        <v>0.033412694956435784</v>
      </c>
      <c r="I5" s="5">
        <v>0.030608463304290526</v>
      </c>
      <c r="J5" s="5">
        <v>0.027804231652145264</v>
      </c>
      <c r="K5" s="5">
        <v>0.025</v>
      </c>
    </row>
    <row r="6" spans="1:11" x14ac:dyDescent="0.25">
      <c r="A6" t="s">
        <v>50</v>
      </c>
      <c r="B6" s="18">
        <f>Assumptions!B29*(1+B5)</f>
        <v>17446763100</v>
      </c>
      <c r="C6" s="18">
        <f>B6*(1+C5)</f>
        <v>18274330300</v>
      </c>
      <c r="D6" s="18">
        <f>C6*(1+D5)</f>
        <v>19089906745.64312</v>
      </c>
      <c r="E6" s="18">
        <f>D6*(1+E5)</f>
        <v>19888349538.68</v>
      </c>
      <c r="F6" s="18">
        <f>E6*(1+F5)</f>
        <v>20664415973.573475</v>
      </c>
      <c r="G6" s="18">
        <f>F6*(1+G5)</f>
        <v>21412817610.297573</v>
      </c>
      <c r="H6" s="18">
        <f>G6*(1+H5)</f>
        <v>22128277553.26824</v>
      </c>
      <c r="I6" s="18">
        <f>H6*(1+I5)</f>
        <v>22805590124.744606</v>
      </c>
      <c r="J6" s="18">
        <f>I6*(1+J5)</f>
        <v>23439682035.53688</v>
      </c>
      <c r="K6" s="18">
        <f>J6*(1+K5)</f>
        <v>24025674086.4253</v>
      </c>
    </row>
    <row r="7" spans="1:11" x14ac:dyDescent="0.25">
      <c r="A7" t="s">
        <v>4</v>
      </c>
      <c r="B7" s="9">
        <f>Assumptions!B7</f>
        <v>0.1919066767781262</v>
      </c>
      <c r="C7" s="9">
        <f>Assumptions!B7</f>
        <v>0.1919066767781262</v>
      </c>
      <c r="D7" s="9">
        <f>Assumptions!B7</f>
        <v>0.1919066767781262</v>
      </c>
      <c r="E7" s="9">
        <f>Assumptions!B7</f>
        <v>0.1919066767781262</v>
      </c>
      <c r="F7" s="9">
        <f>Assumptions!B7</f>
        <v>0.1919066767781262</v>
      </c>
      <c r="G7" s="9">
        <f>Assumptions!B7</f>
        <v>0.1919066767781262</v>
      </c>
      <c r="H7" s="9">
        <f>Assumptions!B7</f>
        <v>0.1919066767781262</v>
      </c>
      <c r="I7" s="9">
        <f>Assumptions!B7</f>
        <v>0.1919066767781262</v>
      </c>
      <c r="J7" s="9">
        <f>Assumptions!B7</f>
        <v>0.1919066767781262</v>
      </c>
      <c r="K7" s="9">
        <f>Assumptions!B7</f>
        <v>0.1919066767781262</v>
      </c>
    </row>
    <row r="8" spans="1:11" x14ac:dyDescent="0.25">
      <c r="A8" t="s">
        <v>51</v>
      </c>
      <c r="B8" s="18">
        <f>B6*B7</f>
        <v>3348150327.056239</v>
      </c>
      <c r="C8" s="18">
        <f>C6*C7</f>
        <v>3506965998.218818</v>
      </c>
      <c r="D8" s="18">
        <f>D6*D7</f>
        <v>3663480563.560705</v>
      </c>
      <c r="E8" s="18">
        <f>E6*E7</f>
        <v>3816707066.569858</v>
      </c>
      <c r="F8" s="18">
        <f>F6*F7</f>
        <v>3965639397.049313</v>
      </c>
      <c r="G8" s="18">
        <f>G6*G7</f>
        <v>4109262668.048345</v>
      </c>
      <c r="H8" s="18">
        <f>H6*H7</f>
        <v>4246564208.071714</v>
      </c>
      <c r="I8" s="18">
        <f>I6*I7</f>
        <v>4376545012.80379</v>
      </c>
      <c r="J8" s="18">
        <f>J6*J7</f>
        <v>4498231484.175827</v>
      </c>
      <c r="K8" s="18">
        <f>K6*K7</f>
        <v>4610687271.280223</v>
      </c>
    </row>
    <row r="9" spans="1:11" x14ac:dyDescent="0.25">
      <c r="A9" t="s">
        <v>52</v>
      </c>
      <c r="B9" s="18">
        <f>B8*(1-Assumptions!B8)</f>
        <v>2740163549.450434</v>
      </c>
      <c r="C9" s="18">
        <f>C8*(1-Assumptions!B8)</f>
        <v>2870140065.046084</v>
      </c>
      <c r="D9" s="18">
        <f>D8*(1-Assumptions!B8)</f>
        <v>2998233329.9876833</v>
      </c>
      <c r="E9" s="18">
        <f>E8*(1-Assumptions!B8)</f>
        <v>3123635608.0641856</v>
      </c>
      <c r="F9" s="18">
        <f>F8*(1-Assumptions!B8)</f>
        <v>3245523487.4752984</v>
      </c>
      <c r="G9" s="18">
        <f>G8*(1-Assumptions!B8)</f>
        <v>3363066373.4276166</v>
      </c>
      <c r="H9" s="18">
        <f>H8*(1-Assumptions!B8)</f>
        <v>3475435484.2812004</v>
      </c>
      <c r="I9" s="18">
        <f>I8*(1-Assumptions!B8)</f>
        <v>3581813223.7682505</v>
      </c>
      <c r="J9" s="18">
        <f>J8*(1-Assumptions!B8)</f>
        <v>3681402788.3766193</v>
      </c>
      <c r="K9" s="18">
        <f>K8*(1-Assumptions!B8)</f>
        <v>3773437858.0860353</v>
      </c>
    </row>
    <row r="10" spans="1:11" x14ac:dyDescent="0.25">
      <c r="A10" t="s">
        <v>53</v>
      </c>
      <c r="B10" s="18">
        <f>B6*Assumptions!B9</f>
        <v>1923454077.5333672</v>
      </c>
      <c r="C10" s="18">
        <f>C6*Assumptions!B9</f>
        <v>2014690915.9170368</v>
      </c>
      <c r="D10" s="18">
        <f>D6*Assumptions!B9</f>
        <v>2104605809.064891</v>
      </c>
      <c r="E10" s="18">
        <f>E6*Assumptions!B9</f>
        <v>2192631767.641925</v>
      </c>
      <c r="F10" s="18">
        <f>F6*Assumptions!B9</f>
        <v>2278190798.854576</v>
      </c>
      <c r="G10" s="18">
        <f>G6*Assumptions!B9</f>
        <v>2360699867.817037</v>
      </c>
      <c r="H10" s="18">
        <f>H6*Assumptions!B9</f>
        <v>2439577212.3841057</v>
      </c>
      <c r="I10" s="18">
        <f>I6*Assumptions!B9</f>
        <v>2514248921.9673476</v>
      </c>
      <c r="J10" s="18">
        <f>J6*Assumptions!B9</f>
        <v>2584155681.4248843</v>
      </c>
      <c r="K10" s="18">
        <f>K6*Assumptions!B9</f>
        <v>2648759573.4605064</v>
      </c>
    </row>
    <row r="11" spans="1:11" x14ac:dyDescent="0.25">
      <c r="A11" t="s">
        <v>54</v>
      </c>
      <c r="B11" s="18">
        <f>-B6*B19</f>
        <v>-1945515182.7703104</v>
      </c>
      <c r="C11" s="18">
        <f>-C6*C19</f>
        <v>-2113080145.0679088</v>
      </c>
      <c r="D11" s="18">
        <f>-D6*D19</f>
        <v>-2286027585.8849597</v>
      </c>
      <c r="E11" s="18">
        <f>-E6*E19</f>
        <v>-2463572264.9191976</v>
      </c>
      <c r="F11" s="18">
        <f>-F6*F19</f>
        <v>-2644831422.2413526</v>
      </c>
      <c r="G11" s="18">
        <f>-G6*G19</f>
        <v>-2828829866.0121536</v>
      </c>
      <c r="H11" s="18">
        <f>-H6*H19</f>
        <v>-3014506833.494141</v>
      </c>
      <c r="I11" s="18">
        <f>-I6*I19</f>
        <v>-3200724603.8974185</v>
      </c>
      <c r="J11" s="18">
        <f>-J6*J19</f>
        <v>-3386278802.496723</v>
      </c>
      <c r="K11" s="18">
        <f>-K6*K19</f>
        <v>-3569910295.573407</v>
      </c>
    </row>
    <row r="12" spans="1:11" x14ac:dyDescent="0.25">
      <c r="A12" t="s">
        <v>55</v>
      </c>
      <c r="B12" s="18">
        <f>-(B6-Assumptions!B29)*Assumptions!B11</f>
        <v>-31541508.493361887</v>
      </c>
      <c r="C12" s="18">
        <f>-(C6-B6)*Assumptions!B11</f>
        <v>-30502270.85933913</v>
      </c>
      <c r="D12" s="18">
        <f>-(D6-C6)*Assumptions!B11</f>
        <v>-30060318.54754939</v>
      </c>
      <c r="E12" s="18">
        <f>-(E6-D6)*Assumptions!B11</f>
        <v>-29428810.541184068</v>
      </c>
      <c r="F12" s="18">
        <f>-(F6-E6)*Assumptions!B11</f>
        <v>-28604068.16747019</v>
      </c>
      <c r="G12" s="18">
        <f>-(G6-F6)*Assumptions!B11</f>
        <v>-27584405.755727354</v>
      </c>
      <c r="H12" s="18">
        <f>-(H6-G6)*Assumptions!B11</f>
        <v>-26370248.80819185</v>
      </c>
      <c r="I12" s="18">
        <f>-(I6-H6)*Assumptions!B11</f>
        <v>-24964222.254830245</v>
      </c>
      <c r="J12" s="18">
        <f>-(J6-I6)*Assumptions!B11</f>
        <v>-23371205.640704297</v>
      </c>
      <c r="K12" s="18">
        <f>-(K6-J6)*Assumptions!B11</f>
        <v>-21598352.686788734</v>
      </c>
    </row>
    <row r="13" spans="1:11" x14ac:dyDescent="0.25">
      <c r="A13" s="19" t="s">
        <v>56</v>
      </c>
      <c r="B13" s="20">
        <f>B9+B10+B11+B12</f>
        <v>2686560935.7201285</v>
      </c>
      <c r="C13" s="20">
        <f>C9+C10+C11+C12</f>
        <v>2741248565.0358725</v>
      </c>
      <c r="D13" s="20">
        <f>D9+D10+D11+D12</f>
        <v>2786751234.620065</v>
      </c>
      <c r="E13" s="20">
        <f>E9+E10+E11+E12</f>
        <v>2823266300.2457285</v>
      </c>
      <c r="F13" s="20">
        <f>F9+F10+F11+F12</f>
        <v>2850278795.9210515</v>
      </c>
      <c r="G13" s="20">
        <f>G9+G10+G11+G12</f>
        <v>2867351969.476773</v>
      </c>
      <c r="H13" s="20">
        <f>H9+H10+H11+H12</f>
        <v>2874135614.362973</v>
      </c>
      <c r="I13" s="20">
        <f>I9+I10+I11+I12</f>
        <v>2870373319.5833488</v>
      </c>
      <c r="J13" s="20">
        <f>J9+J10+J11+J12</f>
        <v>2855908461.664077</v>
      </c>
      <c r="K13" s="20">
        <f>K9+K10+K11+K12</f>
        <v>2830688783.2863455</v>
      </c>
    </row>
    <row r="14" spans="1:11" x14ac:dyDescent="0.25">
      <c r="A14" t="s">
        <v>57</v>
      </c>
      <c r="B14" s="21">
        <f>1/(1+Assumptions!$B$26)^(1-0.5*Assumptions!$B$32)</f>
        <v>0.9668687244633446</v>
      </c>
      <c r="C14" s="21">
        <f>1/(1+Assumptions!$B$26)^(2-0.5*Assumptions!$B$32)</f>
        <v>0.9038628500605573</v>
      </c>
      <c r="D14" s="21">
        <f>1/(1+Assumptions!$B$26)^(3-0.5*Assumptions!$B$32)</f>
        <v>0.8449627452507034</v>
      </c>
      <c r="E14" s="21">
        <f>1/(1+Assumptions!$B$26)^(4-0.5*Assumptions!$B$32)</f>
        <v>0.7899008580934272</v>
      </c>
      <c r="F14" s="21">
        <f>1/(1+Assumptions!$B$26)^(5-0.5*Assumptions!$B$32)</f>
        <v>0.7384270716356927</v>
      </c>
      <c r="G14" s="21">
        <f>1/(1+Assumptions!$B$26)^(6-0.5*Assumptions!$B$32)</f>
        <v>0.6903075677631062</v>
      </c>
      <c r="H14" s="21">
        <f>1/(1+Assumptions!$B$26)^(7-0.5*Assumptions!$B$32)</f>
        <v>0.6453237650882223</v>
      </c>
      <c r="I14" s="21">
        <f>1/(1+Assumptions!$B$26)^(8-0.5*Assumptions!$B$32)</f>
        <v>0.6032713260512165</v>
      </c>
      <c r="J14" s="21">
        <f>1/(1+Assumptions!$B$26)^(9-0.5*Assumptions!$B$32)</f>
        <v>0.5639592287227162</v>
      </c>
      <c r="K14" s="21">
        <f>1/(1+Assumptions!$B$26)^(10-0.5*Assumptions!$B$32)</f>
        <v>0.5272088990924776</v>
      </c>
    </row>
    <row r="15" spans="1:11" x14ac:dyDescent="0.25">
      <c r="A15" s="19" t="s">
        <v>58</v>
      </c>
      <c r="B15" s="20">
        <f>B13*B14</f>
        <v>2597551745.11277</v>
      </c>
      <c r="C15" s="20">
        <f>C13*C14</f>
        <v>2477712740.7177367</v>
      </c>
      <c r="D15" s="20">
        <f>D13*D14</f>
        <v>2354700973.5353575</v>
      </c>
      <c r="E15" s="20">
        <f>E13*E14</f>
        <v>2230100473.1903567</v>
      </c>
      <c r="F15" s="20">
        <f>F13*F14</f>
        <v>2104723024.61729</v>
      </c>
      <c r="G15" s="20">
        <f>G13*G14</f>
        <v>1979354763.9702632</v>
      </c>
      <c r="H15" s="20">
        <f>H13*H14</f>
        <v>1854748016.034865</v>
      </c>
      <c r="I15" s="20">
        <f>I13*I14</f>
        <v>1731613918.7670789</v>
      </c>
      <c r="J15" s="20">
        <f>J13*J14</f>
        <v>1610615933.3427517</v>
      </c>
      <c r="K15" s="20">
        <f>K13*K14</f>
        <v>1492364317.1098192</v>
      </c>
    </row>
    <row r="17" spans="1:2" x14ac:dyDescent="0.25">
      <c r="A17" s="22" t="s">
        <v>59</v>
      </c>
      <c r="B17" s="23">
        <f>SUM(B15:K15)</f>
        <v>20433485906.398285</v>
      </c>
    </row>
    <row r="19" spans="1:11" x14ac:dyDescent="0.25">
      <c r="A19" t="s">
        <v>7</v>
      </c>
      <c r="B19" s="9">
        <f>Assumptions!$B$10+($B$20-Assumptions!$B$10)*0/9</f>
        <v>0.11151152632836003</v>
      </c>
      <c r="C19" s="9">
        <f>Assumptions!$B$10+($B$20-Assumptions!$B$10)*1/9</f>
        <v>0.11563105790355058</v>
      </c>
      <c r="D19" s="9">
        <f>Assumptions!$B$10+($B$20-Assumptions!$B$10)*2/9</f>
        <v>0.1197505894787411</v>
      </c>
      <c r="E19" s="9">
        <f>Assumptions!$B$10+($B$20-Assumptions!$B$10)*3/9</f>
        <v>0.12387012105393165</v>
      </c>
      <c r="F19" s="9">
        <f>Assumptions!$B$10+($B$20-Assumptions!$B$10)*4/9</f>
        <v>0.12798965262912218</v>
      </c>
      <c r="G19" s="9">
        <f>Assumptions!$B$10+($B$20-Assumptions!$B$10)*5/9</f>
        <v>0.13210918420431272</v>
      </c>
      <c r="H19" s="9">
        <f>Assumptions!$B$10+($B$20-Assumptions!$B$10)*6/9</f>
        <v>0.13622871577950327</v>
      </c>
      <c r="I19" s="9">
        <f>Assumptions!$B$10+($B$20-Assumptions!$B$10)*7/9</f>
        <v>0.1403482473546938</v>
      </c>
      <c r="J19" s="9">
        <f>Assumptions!$B$10+($B$20-Assumptions!$B$10)*8/9</f>
        <v>0.14446777892988433</v>
      </c>
      <c r="K19" s="9">
        <f>Assumptions!$B$10+($B$20-Assumptions!$B$10)*9/9</f>
        <v>0.14858731050507487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0.14858731050507487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2830688783.2863455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3773437858.0860353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0.24411445391607092</v>
      </c>
    </row>
    <row r="7" spans="1:2" x14ac:dyDescent="0.25">
      <c r="A7" t="s">
        <v>66</v>
      </c>
      <c r="B7" s="18">
        <f>-MAX(B5,0)*B6</f>
        <v>-921150722.1129009</v>
      </c>
    </row>
    <row r="8" spans="1:2" x14ac:dyDescent="0.25">
      <c r="A8" t="s">
        <v>67</v>
      </c>
      <c r="B8" s="18">
        <f>IF(OR(Assumptions!$B$33=0,Assumptions!B12&lt;=0),B5,MAX(B5+B7,0))</f>
        <v>2852287135.9731345</v>
      </c>
    </row>
    <row r="9" spans="1:2" x14ac:dyDescent="0.25">
      <c r="A9" t="s">
        <v>68</v>
      </c>
      <c r="B9" s="18">
        <f>B8*(1+Assumptions!B12)/(Assumptions!B26-Assumptions!B12)</f>
        <v>65394057391.119835</v>
      </c>
    </row>
    <row r="10" spans="1:2" x14ac:dyDescent="0.25">
      <c r="A10" t="s">
        <v>69</v>
      </c>
      <c r="B10" s="18">
        <f>B9/(1+Assumptions!B26)^(10-0.5*Assumptions!B32)</f>
        <v>34476329004.36259</v>
      </c>
    </row>
    <row r="11" spans="1:2" x14ac:dyDescent="0.25">
      <c r="A11" t="s">
        <v>70</v>
      </c>
      <c r="B11" s="18">
        <f>Forecast!B17+B10</f>
        <v>54909814910.76087</v>
      </c>
    </row>
    <row r="12" spans="1:2" x14ac:dyDescent="0.25">
      <c r="A12" t="s">
        <v>71</v>
      </c>
      <c r="B12" s="18">
        <f>-Assumptions!B30</f>
        <v>-13730000000</v>
      </c>
    </row>
    <row r="13" spans="1:2" x14ac:dyDescent="0.25">
      <c r="A13" t="s">
        <v>72</v>
      </c>
      <c r="B13" s="18">
        <f>B11+B12</f>
        <v>41179814910.76087</v>
      </c>
    </row>
    <row r="14" spans="1:2" x14ac:dyDescent="0.25">
      <c r="A14" s="19" t="s">
        <v>73</v>
      </c>
      <c r="B14" s="24">
        <f>B13/Assumptions!B31</f>
        <v>131.90203366675487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7259446844.740729</v>
      </c>
    </row>
    <row r="18" spans="1:2" x14ac:dyDescent="0.25">
      <c r="A18" t="s">
        <v>68</v>
      </c>
      <c r="B18" s="18">
        <f>B17*Assumptions!B13</f>
        <v>121784839207.6085</v>
      </c>
    </row>
    <row r="19" spans="1:2" x14ac:dyDescent="0.25">
      <c r="A19" t="s">
        <v>69</v>
      </c>
      <c r="B19" s="18">
        <f>B18/(1+Assumptions!B26)^(10-0.5*Assumptions!B32)</f>
        <v>64206051004.79768</v>
      </c>
    </row>
    <row r="20" spans="1:2" x14ac:dyDescent="0.25">
      <c r="A20" t="s">
        <v>70</v>
      </c>
      <c r="B20" s="18">
        <f>Forecast!B17+B19</f>
        <v>84639536911.19597</v>
      </c>
    </row>
    <row r="21" spans="1:2" x14ac:dyDescent="0.25">
      <c r="A21" t="s">
        <v>71</v>
      </c>
      <c r="B21" s="18">
        <f>-Assumptions!B30</f>
        <v>-13730000000</v>
      </c>
    </row>
    <row r="22" spans="1:2" x14ac:dyDescent="0.25">
      <c r="A22" t="s">
        <v>72</v>
      </c>
      <c r="B22" s="18">
        <f>B20+B21</f>
        <v>70909536911.19597</v>
      </c>
    </row>
    <row r="23" spans="1:2" x14ac:dyDescent="0.25">
      <c r="A23" s="19" t="s">
        <v>73</v>
      </c>
      <c r="B23" s="25">
        <f>B22/Assumptions!B31</f>
        <v>227.1285615349006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244.04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131.90203366675487</v>
      </c>
    </row>
    <row r="29" spans="1:2" x14ac:dyDescent="0.25">
      <c r="A29" s="19" t="s">
        <v>81</v>
      </c>
      <c r="B29" s="11">
        <f>B28/B26-1</f>
        <v>-0.45950650030013573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0.049707</v>
      </c>
      <c r="B5" s="31">
        <v>221.59017497976245</v>
      </c>
      <c r="C5" s="31">
        <v>239.9748292255945</v>
      </c>
      <c r="D5" s="31">
        <v>266.4429288978826</v>
      </c>
      <c r="E5" s="31">
        <v>307.1471954355489</v>
      </c>
      <c r="F5" s="31">
        <v>376.6074155374903</v>
      </c>
    </row>
    <row r="6" spans="1:6" x14ac:dyDescent="0.25">
      <c r="A6" s="30">
        <v>0.059707</v>
      </c>
      <c r="B6" s="31">
        <v>163.00354907109522</v>
      </c>
      <c r="C6" s="31">
        <v>170.17659784717637</v>
      </c>
      <c r="D6" s="31">
        <v>179.8480187240146</v>
      </c>
      <c r="E6" s="31">
        <v>193.27931846807437</v>
      </c>
      <c r="F6" s="31">
        <v>212.7531774132011</v>
      </c>
    </row>
    <row r="7" spans="1:6" x14ac:dyDescent="0.25">
      <c r="A7" s="30">
        <v>0.069707</v>
      </c>
      <c r="B7" s="31">
        <v>125.83382463933751</v>
      </c>
      <c r="C7" s="31">
        <v>128.42093952339852</v>
      </c>
      <c r="D7" s="32">
        <v>131.9032981123387</v>
      </c>
      <c r="E7" s="31">
        <v>136.61909406403166</v>
      </c>
      <c r="F7" s="31">
        <v>143.10140602086338</v>
      </c>
    </row>
    <row r="8" spans="1:6" x14ac:dyDescent="0.25">
      <c r="A8" s="30">
        <v>0.079707</v>
      </c>
      <c r="B8" s="31">
        <v>100.15151675887898</v>
      </c>
      <c r="C8" s="31">
        <v>100.62029353397138</v>
      </c>
      <c r="D8" s="31">
        <v>101.41937142690547</v>
      </c>
      <c r="E8" s="31">
        <v>102.64842486517902</v>
      </c>
      <c r="F8" s="31">
        <v>104.4517183527867</v>
      </c>
    </row>
    <row r="9" spans="1:6" x14ac:dyDescent="0.25">
      <c r="A9" s="30">
        <v>0.089707</v>
      </c>
      <c r="B9" s="31">
        <v>81.34363683502012</v>
      </c>
      <c r="C9" s="31">
        <v>80.77078041505344</v>
      </c>
      <c r="D9" s="31">
        <v>80.30511189963251</v>
      </c>
      <c r="E9" s="31">
        <v>79.97355976562241</v>
      </c>
      <c r="F9" s="31">
        <v>79.81289710826073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16591000000</v>
      </c>
      <c r="C5" s="18">
        <v>16032000000</v>
      </c>
      <c r="D5" s="18">
        <v>14965000000</v>
      </c>
      <c r="E5" s="18">
        <v>13511000000</v>
      </c>
      <c r="F5" s="6" t="s">
        <v>91</v>
      </c>
    </row>
    <row r="6" spans="1:6" x14ac:dyDescent="0.25">
      <c r="A6" t="s">
        <v>51</v>
      </c>
      <c r="B6" s="18">
        <v>3322000000</v>
      </c>
      <c r="C6" s="18">
        <v>3224000000</v>
      </c>
      <c r="D6" s="18">
        <v>2809000000</v>
      </c>
      <c r="E6" s="18">
        <v>2413000000</v>
      </c>
      <c r="F6" s="6" t="s">
        <v>92</v>
      </c>
    </row>
    <row r="7" spans="1:6" x14ac:dyDescent="0.25">
      <c r="A7" t="s">
        <v>93</v>
      </c>
      <c r="B7" s="18">
        <v>1928000000</v>
      </c>
      <c r="C7" s="18">
        <v>1784000000</v>
      </c>
      <c r="D7" s="18">
        <v>1599000000</v>
      </c>
      <c r="E7" s="18">
        <v>1441000000</v>
      </c>
      <c r="F7" s="6" t="s">
        <v>94</v>
      </c>
    </row>
    <row r="8" spans="1:6" x14ac:dyDescent="0.25">
      <c r="A8" t="s">
        <v>95</v>
      </c>
      <c r="B8" s="18">
        <v>1887000000</v>
      </c>
      <c r="C8" s="18">
        <v>1855000000</v>
      </c>
      <c r="D8" s="18">
        <v>1631000000</v>
      </c>
      <c r="E8" s="18">
        <v>1454000000</v>
      </c>
      <c r="F8" s="6" t="s">
        <v>96</v>
      </c>
    </row>
    <row r="9" spans="1:6" x14ac:dyDescent="0.25">
      <c r="A9" t="s">
        <v>97</v>
      </c>
      <c r="B9" s="18">
        <v>235000000</v>
      </c>
      <c r="C9" s="18">
        <v>260000000</v>
      </c>
      <c r="D9" s="18">
        <v>-25000000</v>
      </c>
      <c r="E9" s="18">
        <v>112000000</v>
      </c>
      <c r="F9" s="6" t="s">
        <v>98</v>
      </c>
    </row>
    <row r="10" spans="1:6" x14ac:dyDescent="0.25">
      <c r="A10" t="s">
        <v>99</v>
      </c>
      <c r="B10" s="18">
        <v>13806000000</v>
      </c>
      <c r="C10" s="18">
        <v>12957000000</v>
      </c>
      <c r="D10" s="18">
        <v>13069000000</v>
      </c>
      <c r="E10" s="18">
        <v>12081400000</v>
      </c>
      <c r="F10" s="6" t="s">
        <v>100</v>
      </c>
    </row>
    <row r="11" spans="1:6" x14ac:dyDescent="0.25">
      <c r="A11" t="s">
        <v>101</v>
      </c>
      <c r="B11" s="18">
        <v>76000000</v>
      </c>
      <c r="C11" s="18">
        <v>74000000</v>
      </c>
      <c r="D11" s="18">
        <v>140000000</v>
      </c>
      <c r="E11" s="18">
        <v>143400000</v>
      </c>
      <c r="F11" s="6" t="s">
        <v>102</v>
      </c>
    </row>
    <row r="12" spans="1:6" x14ac:dyDescent="0.25">
      <c r="A12" t="s">
        <v>34</v>
      </c>
      <c r="B12" s="34">
        <v>312200000</v>
      </c>
      <c r="C12" s="34">
        <v>314800000</v>
      </c>
      <c r="D12" s="34">
        <v>316700000</v>
      </c>
      <c r="E12" s="34">
        <v>317100000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