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<sst xmlns="http://schemas.openxmlformats.org/spreadsheetml/2006/main" count="113" uniqueCount="101">
  <si>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Resolute Mining Limited (RSG.AX)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</si>
  <si>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</si>
  <si>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</si>
  <si>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</si>
  <si>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</si>
  <si>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</si>
  <si>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</si>
  <si>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</si>
  <si>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</si>
  <si>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</si>
  <si>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</si>
  <si>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</si>
  <si>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</si>
  <si>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</si>
  <si>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</si>
  <si>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</si>
  <si>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</si>
  <si>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</si>
  <si>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</si>
  <si>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</si>
  <si>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</si>
  <si>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</si>
  <si>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</si>
  <si>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</si>
  <si>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</si>
  <si>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</si>
  <si>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</si>
  <si>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</si>
  <si>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</si>
  <si>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</si>
  <si>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</si>
  <si>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</si>
  <si>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</si>
  <si>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</si>
  <si>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</si>
  <si>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</si>
  <si>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</si>
  <si>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</si>
  <si>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</si>
  <si>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</si>
  <si>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</si>
  <si>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</si>
  <si>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</si>
  <si>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</si>
  <si>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</si>
  <si>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</si>
  <si>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</si>
  <si>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</si>
  <si>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</si>
  <si>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</si>
  <si>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</si>
  <si>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</si>
  <si>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</si>
  <si>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</si>
  <si>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</si>
  <si>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</si>
  <si>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</si>
  <si>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</si>
  <si>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</si>
  <si>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</si>
  <si>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</si>
  <si>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</si>
  <si>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</si>
  <si>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</si>
  <si>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</si>
  <si>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</si>
  <si>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</si>
  <si>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</si>
  <si>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</si>
  <si>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</si>
  <si>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</si>
  <si>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</si>
  <si>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</si>
  <si>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</si>
  <si>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</si>
  <si>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</si>
  <si>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</si>
  <si>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</si>
  <si>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</si>
  <si>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</si>
  <si>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</si>
  <si>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</si>
  <si>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</si>
  <si>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</si>
  <si>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</si>
  <si>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</si>
  <si>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</si>
  <si>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</si>
  <si>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</si>
  <si>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</si>
  <si>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</si>
  <si>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</si>
  <si>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</si>
  <si>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</si>
  <si>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</si>
  <si>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</si>
  <si>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</si>
  <si>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</si>
  <si>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</si>
  <si>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USD, trades in AUD. Modelled in USD, converted at the end.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</si>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</sst>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0.09955443971620714</v>
      </c>
    </row>
    <row r="7" spans="1:2" x14ac:dyDescent="0.25">
      <c r="A7" t="s">
        <v>5</v>
      </c>
      <c r="B7" s="6">
        <v>0.18218412320620586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0.14026162267589698</v>
      </c>
    </row>
    <row r="10" spans="1:2" x14ac:dyDescent="0.25">
      <c r="A10" t="s">
        <v>8</v>
      </c>
      <c r="B10" s="6">
        <v>0.12473042445290539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6.835044175209693</v>
      </c>
    </row>
    <row r="14" spans="1:3" x14ac:dyDescent="0.25">
      <c r="A14" t="s">
        <v>12</v>
      </c>
      <c r="B14" s="6">
        <v>0.12456990278704766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1.2458900000000002</v>
      </c>
      <c r="C19" s="8" t="s">
        <v>19</v>
      </c>
    </row>
    <row r="20" spans="1:2" x14ac:dyDescent="0.25">
      <c r="A20" t="s">
        <v>20</v>
      </c>
      <c r="B20" s="10">
        <f>B17+B19*B18</f>
        <v>0.1282334</v>
      </c>
    </row>
    <row r="21" spans="1:3" x14ac:dyDescent="0.25">
      <c r="A21" t="s">
        <v>21</v>
      </c>
      <c r="B21" s="6">
        <v>0.10273386222247588</v>
      </c>
      <c r="C21" s="8" t="s">
        <v>22</v>
      </c>
    </row>
    <row r="22" spans="1:2" x14ac:dyDescent="0.25">
      <c r="A22" t="s">
        <v>23</v>
      </c>
      <c r="B22" s="11">
        <v>2896200960</v>
      </c>
    </row>
    <row r="23" spans="1:2" x14ac:dyDescent="0.25">
      <c r="A23" t="s">
        <v>24</v>
      </c>
      <c r="B23" s="11">
        <v>201500000</v>
      </c>
    </row>
    <row r="24" spans="1:2" x14ac:dyDescent="0.25">
      <c r="A24" t="s">
        <v>25</v>
      </c>
      <c r="B24" s="10">
        <f>B22/(B22+B23)</f>
        <v>0.9349517585454731</v>
      </c>
    </row>
    <row r="25" spans="1:2" x14ac:dyDescent="0.25">
      <c r="A25" t="s">
        <v>26</v>
      </c>
      <c r="B25" s="10">
        <f>1-B24</f>
        <v>0.06504824145452692</v>
      </c>
    </row>
    <row r="26" spans="1:2" x14ac:dyDescent="0.25">
      <c r="A26" t="s">
        <v>27</v>
      </c>
      <c r="B26" s="12">
        <f>B24*B20+B25*B21*(1-B8)</f>
        <v>0.12456990278704766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865600000</v>
      </c>
      <c r="C29" s="8" t="s">
        <v>30</v>
      </c>
    </row>
    <row r="30" spans="1:2" x14ac:dyDescent="0.25">
      <c r="A30" t="s">
        <v>31</v>
      </c>
      <c r="B30" s="11">
        <v>37400000</v>
      </c>
    </row>
    <row r="31" spans="1:2" x14ac:dyDescent="0.25">
      <c r="A31" t="s">
        <v>32</v>
      </c>
      <c r="B31" s="13">
        <v>2147859922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0.09955443971620714</v>
      </c>
      <c r="C5" s="10">
        <f>Assumptions!B6</f>
        <v>0.09955443971620714</v>
      </c>
      <c r="D5" s="10">
        <f>Assumptions!B6</f>
        <v>0.09955443971620714</v>
      </c>
      <c r="E5" s="10">
        <f>Assumptions!B6</f>
        <v>0.09955443971620714</v>
      </c>
      <c r="F5" s="10">
        <f>Assumptions!B6</f>
        <v>0.09955443971620714</v>
      </c>
    </row>
    <row r="6" spans="1:6" x14ac:dyDescent="0.25">
      <c r="A6" t="s">
        <v>43</v>
      </c>
      <c r="B6" s="18">
        <f>Assumptions!B29*(1+B5)</f>
        <v>951774323.0183489</v>
      </c>
      <c r="C6" s="18">
        <f>B6*(1+C5)</f>
        <v>1046527682.482713</v>
      </c>
      <c r="D6" s="18">
        <f>C6*(1+D5)</f>
        <v>1150714159.5597801</v>
      </c>
      <c r="E6" s="18">
        <f>D6*(1+E5)</f>
        <v>1265272862.9882603</v>
      </c>
      <c r="F6" s="18">
        <f>E6*(1+F5)</f>
        <v>1391236393.9511778</v>
      </c>
    </row>
    <row r="7" spans="1:6" x14ac:dyDescent="0.25">
      <c r="A7" t="s">
        <v>5</v>
      </c>
      <c r="B7" s="10">
        <f>Assumptions!B7</f>
        <v>0.18218412320620586</v>
      </c>
      <c r="C7" s="10">
        <f>Assumptions!B7</f>
        <v>0.18218412320620586</v>
      </c>
      <c r="D7" s="10">
        <f>Assumptions!B7</f>
        <v>0.18218412320620586</v>
      </c>
      <c r="E7" s="10">
        <f>Assumptions!B7</f>
        <v>0.18218412320620586</v>
      </c>
      <c r="F7" s="10">
        <f>Assumptions!B7</f>
        <v>0.18218412320620586</v>
      </c>
    </row>
    <row r="8" spans="1:6" x14ac:dyDescent="0.25">
      <c r="A8" t="s">
        <v>44</v>
      </c>
      <c r="B8" s="18">
        <f>B6*B7</f>
        <v>173398170.52927807</v>
      </c>
      <c r="C8" s="18">
        <f>C6*C7</f>
        <v>190660728.24413568</v>
      </c>
      <c r="D8" s="18">
        <f>D6*D7</f>
        <v>209641850.2203646</v>
      </c>
      <c r="E8" s="18">
        <f>E6*E7</f>
        <v>230512627.16012204</v>
      </c>
      <c r="F8" s="18">
        <f>F6*F7</f>
        <v>253461182.60455894</v>
      </c>
    </row>
    <row r="9" spans="1:6" x14ac:dyDescent="0.25">
      <c r="A9" t="s">
        <v>45</v>
      </c>
      <c r="B9" s="18">
        <f>B8*(1-Assumptions!B8)</f>
        <v>121378719.37049463</v>
      </c>
      <c r="C9" s="18">
        <f>C8*(1-Assumptions!B8)</f>
        <v>133462509.77089496</v>
      </c>
      <c r="D9" s="18">
        <f>D8*(1-Assumptions!B8)</f>
        <v>146749295.1542552</v>
      </c>
      <c r="E9" s="18">
        <f>E8*(1-Assumptions!B8)</f>
        <v>161358839.0120854</v>
      </c>
      <c r="F9" s="18">
        <f>F8*(1-Assumptions!B8)</f>
        <v>177422827.82319126</v>
      </c>
    </row>
    <row r="10" spans="1:6" x14ac:dyDescent="0.25">
      <c r="A10" t="s">
        <v>46</v>
      </c>
      <c r="B10" s="18">
        <f>B6*Assumptions!B9</f>
        <v>133497410.96780695</v>
      </c>
      <c r="C10" s="18">
        <f>C6*Assumptions!B9</f>
        <v>146787670.92027122</v>
      </c>
      <c r="D10" s="18">
        <f>D6*Assumptions!B9</f>
        <v>161401035.2559858</v>
      </c>
      <c r="E10" s="18">
        <f>E6*Assumptions!B9</f>
        <v>177469224.89051124</v>
      </c>
      <c r="F10" s="18">
        <f>F6*Assumptions!B9</f>
        <v>195137074.14135566</v>
      </c>
    </row>
    <row r="11" spans="1:6" x14ac:dyDescent="0.25">
      <c r="A11" t="s">
        <v>47</v>
      </c>
      <c r="B11" s="18">
        <f>-B6*Assumptions!B10</f>
        <v>-118715215.29345533</v>
      </c>
      <c r="C11" s="18">
        <f>-C6*Assumptions!B10</f>
        <v>-130533842.03778419</v>
      </c>
      <c r="D11" s="18">
        <f>-D6*Assumptions!B10</f>
        <v>-143529065.54585966</v>
      </c>
      <c r="E11" s="18">
        <f>-E6*Assumptions!B10</f>
        <v>-157818021.2492685</v>
      </c>
      <c r="F11" s="18">
        <f>-F6*Assumptions!B10</f>
        <v>-173529505.9318599</v>
      </c>
    </row>
    <row r="12" spans="1:6" x14ac:dyDescent="0.25">
      <c r="A12" t="s">
        <v>48</v>
      </c>
      <c r="B12" s="18">
        <f>-(B6-Assumptions!B29)*Assumptions!B11</f>
        <v>86174323.01834893</v>
      </c>
      <c r="C12" s="18">
        <f>-(C6-B6)*Assumptions!B11</f>
        <v>94753359.46436405</v>
      </c>
      <c r="D12" s="18">
        <f>-(D6-C6)*Assumptions!B11</f>
        <v>104186477.07706714</v>
      </c>
      <c r="E12" s="18">
        <f>-(E6-D6)*Assumptions!B11</f>
        <v>114558703.42848015</v>
      </c>
      <c r="F12" s="18">
        <f>-(F6-E6)*Assumptions!B11</f>
        <v>125963530.96291757</v>
      </c>
    </row>
    <row r="13" spans="1:6" x14ac:dyDescent="0.25">
      <c r="A13" s="19" t="s">
        <v>49</v>
      </c>
      <c r="B13" s="20">
        <f>B9+B10+B11+B12</f>
        <v>222335238.0631952</v>
      </c>
      <c r="C13" s="20">
        <f>C9+C10+C11+C12</f>
        <v>244469698.11774603</v>
      </c>
      <c r="D13" s="20">
        <f>D9+D10+D11+D12</f>
        <v>268807741.94144845</v>
      </c>
      <c r="E13" s="20">
        <f>E9+E10+E11+E12</f>
        <v>295568746.0818083</v>
      </c>
      <c r="F13" s="20">
        <f>F9+F10+F11+F12</f>
        <v>324993926.9956046</v>
      </c>
    </row>
    <row r="14" spans="1:6" x14ac:dyDescent="0.25">
      <c r="A14" t="s">
        <v>50</v>
      </c>
      <c r="B14" s="21">
        <f>1/(1+Assumptions!$B$26)^(1-0.5*Assumptions!$B$32)</f>
        <v>0.9429893152921376</v>
      </c>
      <c r="C14" s="21">
        <f>1/(1+Assumptions!$B$26)^(2-0.5*Assumptions!$B$32)</f>
        <v>0.83853330322562</v>
      </c>
      <c r="D14" s="21">
        <f>1/(1+Assumptions!$B$26)^(3-0.5*Assumptions!$B$32)</f>
        <v>0.7456480038701583</v>
      </c>
      <c r="E14" s="21">
        <f>1/(1+Assumptions!$B$26)^(4-0.5*Assumptions!$B$32)</f>
        <v>0.6630517160580249</v>
      </c>
      <c r="F14" s="21">
        <f>1/(1+Assumptions!$B$26)^(5-0.5*Assumptions!$B$32)</f>
        <v>0.5896047141353938</v>
      </c>
    </row>
    <row r="15" spans="1:6" x14ac:dyDescent="0.25">
      <c r="A15" s="19" t="s">
        <v>51</v>
      </c>
      <c r="B15" s="20">
        <f>B13*B14</f>
        <v>209659753.90652683</v>
      </c>
      <c r="C15" s="20">
        <f>C13*C14</f>
        <v>204995983.5012437</v>
      </c>
      <c r="D15" s="20">
        <f>D13*D14</f>
        <v>200435956.20348567</v>
      </c>
      <c r="E15" s="20">
        <f>E13*E14</f>
        <v>195977364.30266166</v>
      </c>
      <c r="F15" s="20">
        <f>F13*F14</f>
        <v>191617951.4219825</v>
      </c>
    </row>
    <row r="17" spans="1:2" x14ac:dyDescent="0.25">
      <c r="A17" s="22" t="s">
        <v>52</v>
      </c>
      <c r="B17" s="23">
        <f>SUM(B15:F15)</f>
        <v>1002687009.3359003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324993926.9956046</v>
      </c>
    </row>
    <row r="5" spans="1:2" x14ac:dyDescent="0.25">
      <c r="A5" t="s">
        <v>56</v>
      </c>
      <c r="B5" s="18">
        <f>IF(Assumptions!$B$33=0,B4,B4-Forecast!F11-Forecast!F10-Forecast!F12)</f>
        <v>185550839.91999698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0.2006905315061337</v>
      </c>
    </row>
    <row r="7" spans="1:2" x14ac:dyDescent="0.25">
      <c r="A7" t="s">
        <v>58</v>
      </c>
      <c r="B7" s="18">
        <f>-MAX(Forecast!F9,0)*B6</f>
        <v>-37238296.68495373</v>
      </c>
    </row>
    <row r="8" spans="1:2" x14ac:dyDescent="0.25">
      <c r="A8" t="s">
        <v>59</v>
      </c>
      <c r="B8" s="18">
        <f>IF(OR(Assumptions!$B$33=0,Assumptions!B12&lt;=0),B5,MAX(B5+B7,0))</f>
        <v>148312543.23504326</v>
      </c>
    </row>
    <row r="9" spans="1:2" x14ac:dyDescent="0.25">
      <c r="A9" t="s">
        <v>60</v>
      </c>
      <c r="B9" s="18">
        <f>B8*(1+Assumptions!B12)/(Assumptions!B26-Assumptions!B12)</f>
        <v>1526770164.0831027</v>
      </c>
    </row>
    <row r="10" spans="1:2" x14ac:dyDescent="0.25">
      <c r="A10" t="s">
        <v>61</v>
      </c>
      <c r="B10" s="18">
        <f>B9/(1+Assumptions!B26)^(5-0.5*Assumptions!B32)</f>
        <v>900190886.1446661</v>
      </c>
    </row>
    <row r="11" spans="1:2" x14ac:dyDescent="0.25">
      <c r="A11" t="s">
        <v>62</v>
      </c>
      <c r="B11" s="18">
        <f>Forecast!B17+B10</f>
        <v>1902877895.4805665</v>
      </c>
    </row>
    <row r="12" spans="1:2" x14ac:dyDescent="0.25">
      <c r="A12" t="s">
        <v>63</v>
      </c>
      <c r="B12" s="18">
        <f>-Assumptions!B30</f>
        <v>-37400000</v>
      </c>
    </row>
    <row r="13" spans="1:2" x14ac:dyDescent="0.25">
      <c r="A13" t="s">
        <v>64</v>
      </c>
      <c r="B13" s="18">
        <f>B11+B12</f>
        <v>1865477895.4805665</v>
      </c>
    </row>
    <row r="14" spans="1:2" x14ac:dyDescent="0.25">
      <c r="A14" s="19" t="s">
        <v>65</v>
      </c>
      <c r="B14" s="24">
        <f>B13/Assumptions!B31</f>
        <v>0.868528657931989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448598256.7459146</v>
      </c>
    </row>
    <row r="18" spans="1:2" x14ac:dyDescent="0.25">
      <c r="A18" t="s">
        <v>60</v>
      </c>
      <c r="B18" s="18">
        <f>B17*Assumptions!B13</f>
        <v>3066188901.780386</v>
      </c>
    </row>
    <row r="19" spans="1:2" x14ac:dyDescent="0.25">
      <c r="A19" t="s">
        <v>61</v>
      </c>
      <c r="B19" s="18">
        <f>B18/(1+Assumptions!B26)^(5-0.5*Assumptions!B32)</f>
        <v>1807839430.9193416</v>
      </c>
    </row>
    <row r="20" spans="1:2" x14ac:dyDescent="0.25">
      <c r="A20" t="s">
        <v>62</v>
      </c>
      <c r="B20" s="18">
        <f>Forecast!B17+B19</f>
        <v>2810526440.255242</v>
      </c>
    </row>
    <row r="21" spans="1:2" x14ac:dyDescent="0.25">
      <c r="A21" t="s">
        <v>63</v>
      </c>
      <c r="B21" s="18">
        <f>-Assumptions!B30</f>
        <v>-37400000</v>
      </c>
    </row>
    <row r="22" spans="1:2" x14ac:dyDescent="0.25">
      <c r="A22" t="s">
        <v>64</v>
      </c>
      <c r="B22" s="18">
        <f>B20+B21</f>
        <v>2773126440.255242</v>
      </c>
    </row>
    <row r="23" spans="1:2" x14ac:dyDescent="0.25">
      <c r="A23" s="19" t="s">
        <v>65</v>
      </c>
      <c r="B23" s="25">
        <f>B22/Assumptions!B31</f>
        <v>1.2911114043568628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1.355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1.2195879414680988</v>
      </c>
    </row>
    <row r="29" spans="1:2" x14ac:dyDescent="0.25">
      <c r="A29" s="19" t="s">
        <v>73</v>
      </c>
      <c r="B29" s="12">
        <f>B28/B26-1</f>
        <v>-0.09993509854752858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0.10457</v>
      </c>
      <c r="B5" s="31">
        <v>1.0157487637739469</v>
      </c>
      <c r="C5" s="31">
        <v>1.022232751721644</v>
      </c>
      <c r="D5" s="31">
        <v>1.029233702363854</v>
      </c>
      <c r="E5" s="31">
        <v>1.0368556044415949</v>
      </c>
      <c r="F5" s="31">
        <v>1.0452323414036653</v>
      </c>
    </row>
    <row r="6" spans="1:6" x14ac:dyDescent="0.25">
      <c r="A6" s="30">
        <v>0.11457</v>
      </c>
      <c r="B6" s="31">
        <v>0.9307128325771634</v>
      </c>
      <c r="C6" s="31">
        <v>0.9335010919629928</v>
      </c>
      <c r="D6" s="31">
        <v>0.9363465088819625</v>
      </c>
      <c r="E6" s="31">
        <v>0.9392592212434626</v>
      </c>
      <c r="F6" s="31">
        <v>0.9422519151306645</v>
      </c>
    </row>
    <row r="7" spans="1:6" x14ac:dyDescent="0.25">
      <c r="A7" s="30">
        <v>0.12457</v>
      </c>
      <c r="B7" s="31">
        <v>0.8644391895198843</v>
      </c>
      <c r="C7" s="31">
        <v>0.8664836291383147</v>
      </c>
      <c r="D7" s="32">
        <v>0.8685280687567452</v>
      </c>
      <c r="E7" s="31">
        <v>0.8705725083751754</v>
      </c>
      <c r="F7" s="31">
        <v>0.8726169479936059</v>
      </c>
    </row>
    <row r="8" spans="1:6" x14ac:dyDescent="0.25">
      <c r="A8" s="30">
        <v>0.13457</v>
      </c>
      <c r="B8" s="31">
        <v>0.8085933746682056</v>
      </c>
      <c r="C8" s="31">
        <v>0.8104119776159041</v>
      </c>
      <c r="D8" s="31">
        <v>0.8122305805636025</v>
      </c>
      <c r="E8" s="31">
        <v>0.8140491835113012</v>
      </c>
      <c r="F8" s="31">
        <v>0.8158677864589996</v>
      </c>
    </row>
    <row r="9" spans="1:6" x14ac:dyDescent="0.25">
      <c r="A9" s="30">
        <v>0.14457</v>
      </c>
      <c r="B9" s="31">
        <v>0.7601190211111266</v>
      </c>
      <c r="C9" s="31">
        <v>0.7617462857234143</v>
      </c>
      <c r="D9" s="31">
        <v>0.7633735503357018</v>
      </c>
      <c r="E9" s="31">
        <v>0.7650008149479893</v>
      </c>
      <c r="F9" s="31">
        <v>0.7666280795602768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865600000</v>
      </c>
      <c r="C5" s="18">
        <v>800973000</v>
      </c>
      <c r="D5" s="18">
        <v>631073000</v>
      </c>
      <c r="E5" s="18">
        <v>651129000</v>
      </c>
      <c r="F5" s="8" t="s">
        <v>84</v>
      </c>
    </row>
    <row r="6" spans="1:6" x14ac:dyDescent="0.25">
      <c r="A6" t="s">
        <v>44</v>
      </c>
      <c r="B6" s="18">
        <v>308500000</v>
      </c>
      <c r="C6" s="18">
        <v>109685000</v>
      </c>
      <c r="D6" s="18">
        <v>97844000</v>
      </c>
      <c r="E6" s="18">
        <v>52320000</v>
      </c>
      <c r="F6" s="8" t="s">
        <v>85</v>
      </c>
    </row>
    <row r="7" spans="1:6" x14ac:dyDescent="0.25">
      <c r="A7" t="s">
        <v>86</v>
      </c>
      <c r="B7" s="18">
        <v>120700000</v>
      </c>
      <c r="C7" s="18">
        <v>129171000</v>
      </c>
      <c r="D7" s="18">
        <v>81044000</v>
      </c>
      <c r="E7" s="18">
        <v>85894000</v>
      </c>
      <c r="F7" s="8" t="s">
        <v>87</v>
      </c>
    </row>
    <row r="8" spans="1:6" x14ac:dyDescent="0.25">
      <c r="A8" t="s">
        <v>88</v>
      </c>
      <c r="B8" s="18">
        <v>130000000</v>
      </c>
      <c r="C8" s="18">
        <v>104818000</v>
      </c>
      <c r="D8" s="18">
        <v>71797000</v>
      </c>
      <c r="E8" s="18">
        <v>67785000</v>
      </c>
      <c r="F8" s="8" t="s">
        <v>89</v>
      </c>
    </row>
    <row r="9" spans="1:6" x14ac:dyDescent="0.25">
      <c r="A9" t="s">
        <v>90</v>
      </c>
      <c r="B9" s="18">
        <v>40898000</v>
      </c>
      <c r="C9" s="18">
        <v>-181575000</v>
      </c>
      <c r="D9" s="18">
        <v>150110000</v>
      </c>
      <c r="E9" s="18">
        <v>-16164000</v>
      </c>
      <c r="F9" s="8" t="s">
        <v>91</v>
      </c>
    </row>
    <row r="10" spans="1:6" x14ac:dyDescent="0.25">
      <c r="A10" t="s">
        <v>92</v>
      </c>
      <c r="B10" s="18">
        <v>201500000</v>
      </c>
      <c r="C10" s="18">
        <v>43794000</v>
      </c>
      <c r="D10" s="18">
        <v>84108000</v>
      </c>
      <c r="E10" s="18">
        <v>141025000</v>
      </c>
      <c r="F10" s="8" t="s">
        <v>93</v>
      </c>
    </row>
    <row r="11" spans="1:6" x14ac:dyDescent="0.25">
      <c r="A11" t="s">
        <v>94</v>
      </c>
      <c r="B11" s="18">
        <v>164100000</v>
      </c>
      <c r="C11" s="18">
        <v>70734000</v>
      </c>
      <c r="D11" s="18">
        <v>61181000</v>
      </c>
      <c r="E11" s="18">
        <v>82279000</v>
      </c>
      <c r="F11" s="8" t="s">
        <v>95</v>
      </c>
    </row>
    <row r="12" spans="1:6" x14ac:dyDescent="0.25">
      <c r="A12" t="s">
        <v>32</v>
      </c>
      <c r="B12" s="34">
        <v>2147859922</v>
      </c>
      <c r="C12" s="34">
        <v>2129050013</v>
      </c>
      <c r="D12" s="34">
        <v>2129006806</v>
      </c>
      <c r="E12" s="34">
        <v>1196856518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2026-09-19T01:05:44Z</dcterms:modified>
</cp:coreProperties>
</file>