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<sst xmlns="http://schemas.openxmlformats.org/spreadsheetml/2006/main" count="113" uniqueCount="101">
  <si>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Rentokil Initial plc (RTO.L)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</si>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</sst>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0.1540318969585175</v>
      </c>
    </row>
    <row r="7" spans="1:2" x14ac:dyDescent="0.25">
      <c r="A7" t="s">
        <v>5</v>
      </c>
      <c r="B7" s="6">
        <v>0.1041641234946941</v>
      </c>
    </row>
    <row r="8" spans="1:2" x14ac:dyDescent="0.25">
      <c r="A8" t="s">
        <v>6</v>
      </c>
      <c r="B8" s="6">
        <v>0.23949872271427042</v>
      </c>
    </row>
    <row r="9" spans="1:2" x14ac:dyDescent="0.25">
      <c r="A9" t="s">
        <v>7</v>
      </c>
      <c r="B9" s="6">
        <v>0.09451876459998249</v>
      </c>
    </row>
    <row r="10" spans="1:2" x14ac:dyDescent="0.25">
      <c r="A10" t="s">
        <v>8</v>
      </c>
      <c r="B10" s="6">
        <v>0.0431728580512336</v>
      </c>
    </row>
    <row r="11" spans="1:2" x14ac:dyDescent="0.25">
      <c r="A11" t="s">
        <v>9</v>
      </c>
      <c r="B11" s="6">
        <v>0.08146773856044535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9.69971635053235</v>
      </c>
    </row>
    <row r="14" spans="1:3" x14ac:dyDescent="0.25">
      <c r="A14" t="s">
        <v>12</v>
      </c>
      <c r="B14" s="6">
        <v>0.05909626614437665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0.60135</v>
      </c>
      <c r="C19" s="8" t="s">
        <v>19</v>
      </c>
    </row>
    <row r="20" spans="1:2" x14ac:dyDescent="0.25">
      <c r="A20" t="s">
        <v>20</v>
      </c>
      <c r="B20" s="10">
        <f>B17+B19*B18</f>
        <v>0.07807425000000001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8034353664</v>
      </c>
    </row>
    <row r="23" spans="1:2" x14ac:dyDescent="0.25">
      <c r="A23" t="s">
        <v>24</v>
      </c>
      <c r="B23" s="11">
        <v>6130000000</v>
      </c>
    </row>
    <row r="24" spans="1:2" x14ac:dyDescent="0.25">
      <c r="A24" t="s">
        <v>25</v>
      </c>
      <c r="B24" s="10">
        <f>B22/(B22+B23)</f>
        <v>0.5672234578849894</v>
      </c>
    </row>
    <row r="25" spans="1:2" x14ac:dyDescent="0.25">
      <c r="A25" t="s">
        <v>26</v>
      </c>
      <c r="B25" s="10">
        <f>1-B24</f>
        <v>0.4327765421150106</v>
      </c>
    </row>
    <row r="26" spans="1:2" x14ac:dyDescent="0.25">
      <c r="A26" t="s">
        <v>27</v>
      </c>
      <c r="B26" s="12">
        <f>B24*B20+B25*B21*(1-B8)</f>
        <v>0.05909626614437665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6908000000</v>
      </c>
      <c r="C29" s="8" t="s">
        <v>30</v>
      </c>
    </row>
    <row r="30" spans="1:2" x14ac:dyDescent="0.25">
      <c r="A30" t="s">
        <v>31</v>
      </c>
      <c r="B30" s="11">
        <v>3809000000</v>
      </c>
    </row>
    <row r="31" spans="1:2" x14ac:dyDescent="0.25">
      <c r="A31" t="s">
        <v>32</v>
      </c>
      <c r="B31" s="13">
        <v>2535000000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0.1540318969585175</v>
      </c>
      <c r="C5" s="10">
        <f>Assumptions!B6</f>
        <v>0.1540318969585175</v>
      </c>
      <c r="D5" s="10">
        <f>Assumptions!B6</f>
        <v>0.1540318969585175</v>
      </c>
      <c r="E5" s="10">
        <f>Assumptions!B6</f>
        <v>0.1540318969585175</v>
      </c>
      <c r="F5" s="10">
        <f>Assumptions!B6</f>
        <v>0.1540318969585175</v>
      </c>
    </row>
    <row r="6" spans="1:6" x14ac:dyDescent="0.25">
      <c r="A6" t="s">
        <v>43</v>
      </c>
      <c r="B6" s="18">
        <f>Assumptions!B29*(1+B5)</f>
        <v>7972052344.189439</v>
      </c>
      <c r="C6" s="18">
        <f>B6*(1+C5)</f>
        <v>9200002689.417534</v>
      </c>
      <c r="D6" s="18">
        <f>C6*(1+D5)</f>
        <v>10617096555.691978</v>
      </c>
      <c r="E6" s="18">
        <f>D6*(1+E5)</f>
        <v>12252468078.356956</v>
      </c>
      <c r="F6" s="18">
        <f>E6*(1+F5)</f>
        <v>14139738978.88996</v>
      </c>
    </row>
    <row r="7" spans="1:6" x14ac:dyDescent="0.25">
      <c r="A7" t="s">
        <v>5</v>
      </c>
      <c r="B7" s="10">
        <f>Assumptions!B7</f>
        <v>0.1041641234946941</v>
      </c>
      <c r="C7" s="10">
        <f>Assumptions!B7</f>
        <v>0.1041641234946941</v>
      </c>
      <c r="D7" s="10">
        <f>Assumptions!B7</f>
        <v>0.1041641234946941</v>
      </c>
      <c r="E7" s="10">
        <f>Assumptions!B7</f>
        <v>0.1041641234946941</v>
      </c>
      <c r="F7" s="10">
        <f>Assumptions!B7</f>
        <v>0.1041641234946941</v>
      </c>
    </row>
    <row r="8" spans="1:6" x14ac:dyDescent="0.25">
      <c r="A8" t="s">
        <v>44</v>
      </c>
      <c r="B8" s="18">
        <f>B6*B7</f>
        <v>830401844.8863143</v>
      </c>
      <c r="C8" s="18">
        <f>C6*C7</f>
        <v>958310216.2920059</v>
      </c>
      <c r="D8" s="18">
        <f>D6*D7</f>
        <v>1105920556.7821906</v>
      </c>
      <c r="E8" s="18">
        <f>E6*E7</f>
        <v>1276267598.0287714</v>
      </c>
      <c r="F8" s="18">
        <f>F6*F7</f>
        <v>1472853517.1798337</v>
      </c>
    </row>
    <row r="9" spans="1:6" x14ac:dyDescent="0.25">
      <c r="A9" t="s">
        <v>45</v>
      </c>
      <c r="B9" s="18">
        <f>B8*(1-Assumptions!B8)</f>
        <v>631521663.6964684</v>
      </c>
      <c r="C9" s="18">
        <f>C8*(1-Assumptions!B8)</f>
        <v>728796143.5260342</v>
      </c>
      <c r="D9" s="18">
        <f>D8*(1-Assumptions!B8)</f>
        <v>841053996.0094012</v>
      </c>
      <c r="E9" s="18">
        <f>E8*(1-Assumptions!B8)</f>
        <v>970603138.4592707</v>
      </c>
      <c r="F9" s="18">
        <f>F8*(1-Assumptions!B8)</f>
        <v>1120106981.0700428</v>
      </c>
    </row>
    <row r="10" spans="1:6" x14ac:dyDescent="0.25">
      <c r="A10" t="s">
        <v>46</v>
      </c>
      <c r="B10" s="18">
        <f>B6*Assumptions!B9</f>
        <v>753508538.8991802</v>
      </c>
      <c r="C10" s="18">
        <f>C6*Assumptions!B9</f>
        <v>869572888.5202616</v>
      </c>
      <c r="D10" s="18">
        <f>D6*Assumptions!B9</f>
        <v>1003514850.082735</v>
      </c>
      <c r="E10" s="18">
        <f>E6*Assumptions!B9</f>
        <v>1158088146.067021</v>
      </c>
      <c r="F10" s="18">
        <f>F6*Assumptions!B9</f>
        <v>1336470660.050897</v>
      </c>
    </row>
    <row r="11" spans="1:6" x14ac:dyDescent="0.25">
      <c r="A11" t="s">
        <v>47</v>
      </c>
      <c r="B11" s="18">
        <f>-B6*Assumptions!B10</f>
        <v>-344176284.23269475</v>
      </c>
      <c r="C11" s="18">
        <f>-C6*Assumptions!B10</f>
        <v>-397190410.18119055</v>
      </c>
      <c r="D11" s="18">
        <f>-D6*Assumptions!B10</f>
        <v>-458370402.515131</v>
      </c>
      <c r="E11" s="18">
        <f>-E6*Assumptions!B10</f>
        <v>-528974065.12417585</v>
      </c>
      <c r="F11" s="18">
        <f>-F6*Assumptions!B10</f>
        <v>-610452943.817111</v>
      </c>
    </row>
    <row r="12" spans="1:6" x14ac:dyDescent="0.25">
      <c r="A12" t="s">
        <v>48</v>
      </c>
      <c r="B12" s="18">
        <f>-(B6-Assumptions!B29)*Assumptions!B11</f>
        <v>-86685938.19105422</v>
      </c>
      <c r="C12" s="18">
        <f>-(C6-B6)*Assumptions!B11</f>
        <v>-100038337.69025107</v>
      </c>
      <c r="D12" s="18">
        <f>-(D6-C6)*Assumptions!B11</f>
        <v>-115447432.61325715</v>
      </c>
      <c r="E12" s="18">
        <f>-(E6-D6)*Assumptions!B11</f>
        <v>-133230019.65766786</v>
      </c>
      <c r="F12" s="18">
        <f>-(F6-E6)*Assumptions!B11</f>
        <v>-153751692.31735894</v>
      </c>
    </row>
    <row r="13" spans="1:6" x14ac:dyDescent="0.25">
      <c r="A13" s="19" t="s">
        <v>49</v>
      </c>
      <c r="B13" s="20">
        <f>B9+B10+B11+B12</f>
        <v>954167980.1718996</v>
      </c>
      <c r="C13" s="20">
        <f>C9+C10+C11+C12</f>
        <v>1101140284.1748543</v>
      </c>
      <c r="D13" s="20">
        <f>D9+D10+D11+D12</f>
        <v>1270751010.963748</v>
      </c>
      <c r="E13" s="20">
        <f>E9+E10+E11+E12</f>
        <v>1466487199.744448</v>
      </c>
      <c r="F13" s="20">
        <f>F9+F10+F11+F12</f>
        <v>1692373004.9864697</v>
      </c>
    </row>
    <row r="14" spans="1:6" x14ac:dyDescent="0.25">
      <c r="A14" t="s">
        <v>50</v>
      </c>
      <c r="B14" s="21">
        <f>1/(1+Assumptions!$B$26)^(1-0.5*Assumptions!$B$32)</f>
        <v>0.9717001763202615</v>
      </c>
      <c r="C14" s="21">
        <f>1/(1+Assumptions!$B$26)^(2-0.5*Assumptions!$B$32)</f>
        <v>0.9174805042583343</v>
      </c>
      <c r="D14" s="21">
        <f>1/(1+Assumptions!$B$26)^(3-0.5*Assumptions!$B$32)</f>
        <v>0.8662862230629965</v>
      </c>
      <c r="E14" s="21">
        <f>1/(1+Assumptions!$B$26)^(4-0.5*Assumptions!$B$32)</f>
        <v>0.8179485196531737</v>
      </c>
      <c r="F14" s="21">
        <f>1/(1+Assumptions!$B$26)^(5-0.5*Assumptions!$B$32)</f>
        <v>0.7723080005096256</v>
      </c>
    </row>
    <row r="15" spans="1:6" x14ac:dyDescent="0.25">
      <c r="A15" s="19" t="s">
        <v>51</v>
      </c>
      <c r="B15" s="20">
        <f>B13*B14</f>
        <v>927165194.5721825</v>
      </c>
      <c r="C15" s="20">
        <f>C13*C14</f>
        <v>1010274743.1839108</v>
      </c>
      <c r="D15" s="20">
        <f>D13*D14</f>
        <v>1100834093.7412698</v>
      </c>
      <c r="E15" s="20">
        <f>E13*E14</f>
        <v>1199511034.1212993</v>
      </c>
      <c r="F15" s="20">
        <f>F13*F14</f>
        <v>1307033211.597567</v>
      </c>
    </row>
    <row r="17" spans="1:2" x14ac:dyDescent="0.25">
      <c r="A17" s="22" t="s">
        <v>52</v>
      </c>
      <c r="B17" s="23">
        <f>SUM(B15:F15)</f>
        <v>5544818277.216229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1692373004.9864697</v>
      </c>
    </row>
    <row r="5" spans="1:2" x14ac:dyDescent="0.25">
      <c r="A5" t="s">
        <v>56</v>
      </c>
      <c r="B5" s="18">
        <f>IF(Assumptions!$B$33=0,B4,B4-Forecast!F11-Forecast!F10-Forecast!F12)</f>
        <v>1535146036.097529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0.4230385713189241</v>
      </c>
    </row>
    <row r="7" spans="1:2" x14ac:dyDescent="0.25">
      <c r="A7" t="s">
        <v>58</v>
      </c>
      <c r="B7" s="18">
        <f>-MAX(Forecast!F9,0)*B6</f>
        <v>-649425985.8766081</v>
      </c>
    </row>
    <row r="8" spans="1:2" x14ac:dyDescent="0.25">
      <c r="A8" t="s">
        <v>59</v>
      </c>
      <c r="B8" s="18">
        <f>IF(OR(Assumptions!$B$33=0,Assumptions!B12&lt;=0),B5,MAX(B5+B7,0))</f>
        <v>885720050.2209208</v>
      </c>
    </row>
    <row r="9" spans="1:2" x14ac:dyDescent="0.25">
      <c r="A9" t="s">
        <v>60</v>
      </c>
      <c r="B9" s="18">
        <f>B8*(1+Assumptions!B12)/(Assumptions!B26-Assumptions!B12)</f>
        <v>26626465420.94093</v>
      </c>
    </row>
    <row r="10" spans="1:2" x14ac:dyDescent="0.25">
      <c r="A10" t="s">
        <v>61</v>
      </c>
      <c r="B10" s="18">
        <f>B9/(1+Assumptions!B26)^(5-0.5*Assumptions!B32)</f>
        <v>20563832269.885574</v>
      </c>
    </row>
    <row r="11" spans="1:2" x14ac:dyDescent="0.25">
      <c r="A11" t="s">
        <v>62</v>
      </c>
      <c r="B11" s="18">
        <f>Forecast!B17+B10</f>
        <v>26108650547.101803</v>
      </c>
    </row>
    <row r="12" spans="1:2" x14ac:dyDescent="0.25">
      <c r="A12" t="s">
        <v>63</v>
      </c>
      <c r="B12" s="18">
        <f>-Assumptions!B30</f>
        <v>-3809000000</v>
      </c>
    </row>
    <row r="13" spans="1:2" x14ac:dyDescent="0.25">
      <c r="A13" t="s">
        <v>64</v>
      </c>
      <c r="B13" s="18">
        <f>B11+B12</f>
        <v>22299650547.101803</v>
      </c>
    </row>
    <row r="14" spans="1:2" x14ac:dyDescent="0.25">
      <c r="A14" s="19" t="s">
        <v>65</v>
      </c>
      <c r="B14" s="24">
        <f>B13/Assumptions!B31</f>
        <v>8.796706330217674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2809324177.2307305</v>
      </c>
    </row>
    <row r="18" spans="1:2" x14ac:dyDescent="0.25">
      <c r="A18" t="s">
        <v>60</v>
      </c>
      <c r="B18" s="18">
        <f>B17*Assumptions!B13</f>
        <v>27249647655.83076</v>
      </c>
    </row>
    <row r="19" spans="1:2" x14ac:dyDescent="0.25">
      <c r="A19" t="s">
        <v>61</v>
      </c>
      <c r="B19" s="18">
        <f>B18/(1+Assumptions!B26)^(5-0.5*Assumptions!B32)</f>
        <v>21045120895.666462</v>
      </c>
    </row>
    <row r="20" spans="1:2" x14ac:dyDescent="0.25">
      <c r="A20" t="s">
        <v>62</v>
      </c>
      <c r="B20" s="18">
        <f>Forecast!B17+B19</f>
        <v>26589939172.88269</v>
      </c>
    </row>
    <row r="21" spans="1:2" x14ac:dyDescent="0.25">
      <c r="A21" t="s">
        <v>63</v>
      </c>
      <c r="B21" s="18">
        <f>-Assumptions!B30</f>
        <v>-3809000000</v>
      </c>
    </row>
    <row r="22" spans="1:2" x14ac:dyDescent="0.25">
      <c r="A22" t="s">
        <v>64</v>
      </c>
      <c r="B22" s="18">
        <f>B20+B21</f>
        <v>22780939172.88269</v>
      </c>
    </row>
    <row r="23" spans="1:2" x14ac:dyDescent="0.25">
      <c r="A23" s="19" t="s">
        <v>65</v>
      </c>
      <c r="B23" s="25">
        <f>B22/Assumptions!B31</f>
        <v>8.986563776285085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319.3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656.7884847330422</v>
      </c>
    </row>
    <row r="29" spans="1:2" x14ac:dyDescent="0.25">
      <c r="A29" s="19" t="s">
        <v>73</v>
      </c>
      <c r="B29" s="12">
        <f>B28/B26-1</f>
        <v>1.0569636227154469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0.039096</v>
      </c>
      <c r="B5" s="31">
        <v>15.842300354831877</v>
      </c>
      <c r="C5" s="31">
        <v>17.15950316306774</v>
      </c>
      <c r="D5" s="31">
        <v>19.37509902474448</v>
      </c>
      <c r="E5" s="31">
        <v>23.97060682746246</v>
      </c>
      <c r="F5" s="31">
        <v>39.661524402183346</v>
      </c>
    </row>
    <row r="6" spans="1:6" x14ac:dyDescent="0.25">
      <c r="A6" s="30">
        <v>0.049096</v>
      </c>
      <c r="B6" s="31">
        <v>10.923295208974084</v>
      </c>
      <c r="C6" s="31">
        <v>11.025157835055838</v>
      </c>
      <c r="D6" s="31">
        <v>11.149090017811012</v>
      </c>
      <c r="E6" s="31">
        <v>11.312427500332465</v>
      </c>
      <c r="F6" s="31">
        <v>11.557102710010538</v>
      </c>
    </row>
    <row r="7" spans="1:6" x14ac:dyDescent="0.25">
      <c r="A7" s="30">
        <v>0.059096</v>
      </c>
      <c r="B7" s="31">
        <v>8.717611932971867</v>
      </c>
      <c r="C7" s="31">
        <v>8.757182718819166</v>
      </c>
      <c r="D7" s="32">
        <v>8.79675350466646</v>
      </c>
      <c r="E7" s="31">
        <v>8.836324290513756</v>
      </c>
      <c r="F7" s="31">
        <v>8.87589507636105</v>
      </c>
    </row>
    <row r="8" spans="1:6" x14ac:dyDescent="0.25">
      <c r="A8" s="30">
        <v>0.069096</v>
      </c>
      <c r="B8" s="31">
        <v>7.216522887490385</v>
      </c>
      <c r="C8" s="31">
        <v>7.248965338591712</v>
      </c>
      <c r="D8" s="31">
        <v>7.281407789693037</v>
      </c>
      <c r="E8" s="31">
        <v>7.313850240794365</v>
      </c>
      <c r="F8" s="31">
        <v>7.346292691895692</v>
      </c>
    </row>
    <row r="9" spans="1:6" x14ac:dyDescent="0.25">
      <c r="A9" s="30">
        <v>0.079096</v>
      </c>
      <c r="B9" s="31">
        <v>6.09597329429833</v>
      </c>
      <c r="C9" s="31">
        <v>6.123151253536</v>
      </c>
      <c r="D9" s="31">
        <v>6.150329212773671</v>
      </c>
      <c r="E9" s="31">
        <v>6.177507172011342</v>
      </c>
      <c r="F9" s="31">
        <v>6.204685131249011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6908000000</v>
      </c>
      <c r="C5" s="18">
        <v>6617000000</v>
      </c>
      <c r="D5" s="18">
        <v>6385000000</v>
      </c>
      <c r="E5" s="18">
        <v>4494681172.925415</v>
      </c>
      <c r="F5" s="8" t="s">
        <v>84</v>
      </c>
    </row>
    <row r="6" spans="1:6" x14ac:dyDescent="0.25">
      <c r="A6" t="s">
        <v>44</v>
      </c>
      <c r="B6" s="18">
        <v>658000000</v>
      </c>
      <c r="C6" s="18">
        <v>715000000</v>
      </c>
      <c r="D6" s="18">
        <v>776000000</v>
      </c>
      <c r="E6" s="18">
        <v>412678050.610546</v>
      </c>
      <c r="F6" s="8" t="s">
        <v>85</v>
      </c>
    </row>
    <row r="7" spans="1:6" x14ac:dyDescent="0.25">
      <c r="A7" t="s">
        <v>86</v>
      </c>
      <c r="B7" s="18">
        <v>563000000</v>
      </c>
      <c r="C7" s="18">
        <v>648000000</v>
      </c>
      <c r="D7" s="18">
        <v>591000000</v>
      </c>
      <c r="E7" s="18">
        <v>476818627.391657</v>
      </c>
      <c r="F7" s="8" t="s">
        <v>87</v>
      </c>
    </row>
    <row r="8" spans="1:6" x14ac:dyDescent="0.25">
      <c r="A8" t="s">
        <v>88</v>
      </c>
      <c r="B8" s="18">
        <v>269000000</v>
      </c>
      <c r="C8" s="18">
        <v>275000000</v>
      </c>
      <c r="D8" s="18">
        <v>262000000</v>
      </c>
      <c r="E8" s="18">
        <v>229937916.762474</v>
      </c>
      <c r="F8" s="8" t="s">
        <v>89</v>
      </c>
    </row>
    <row r="9" spans="1:6" x14ac:dyDescent="0.25">
      <c r="A9" t="s">
        <v>90</v>
      </c>
      <c r="B9" s="18">
        <v>-64000000</v>
      </c>
      <c r="C9" s="18">
        <v>210000000</v>
      </c>
      <c r="D9" s="18">
        <v>154000000</v>
      </c>
      <c r="E9" s="18">
        <v>3630598.685723</v>
      </c>
      <c r="F9" s="8" t="s">
        <v>91</v>
      </c>
    </row>
    <row r="10" spans="1:6" x14ac:dyDescent="0.25">
      <c r="A10" t="s">
        <v>92</v>
      </c>
      <c r="B10" s="18">
        <v>6130000000</v>
      </c>
      <c r="C10" s="18">
        <v>5144000000</v>
      </c>
      <c r="D10" s="18">
        <v>6027000000</v>
      </c>
      <c r="E10" s="18">
        <v>6509663443.501833</v>
      </c>
      <c r="F10" s="8" t="s">
        <v>93</v>
      </c>
    </row>
    <row r="11" spans="1:6" x14ac:dyDescent="0.25">
      <c r="A11" t="s">
        <v>94</v>
      </c>
      <c r="B11" s="18">
        <v>2321000000</v>
      </c>
      <c r="C11" s="18">
        <v>1159000000</v>
      </c>
      <c r="D11" s="18">
        <v>1990000000</v>
      </c>
      <c r="E11" s="18">
        <v>2611610654.596943</v>
      </c>
      <c r="F11" s="8" t="s">
        <v>95</v>
      </c>
    </row>
    <row r="12" spans="1:6" x14ac:dyDescent="0.25">
      <c r="A12" t="s">
        <v>32</v>
      </c>
      <c r="B12" s="34">
        <v>2535000000</v>
      </c>
      <c r="C12" s="34">
        <v>2528000000</v>
      </c>
      <c r="D12" s="34">
        <v>2527000000</v>
      </c>
      <c r="E12" s="34">
        <v>2014000000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