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<sst xmlns="http://schemas.openxmlformats.org/spreadsheetml/2006/main" count="112" uniqueCount="100">
  <si>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RTX Corporation (RTX)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</si>
  <si>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</si>
  <si>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</si>
  <si>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</si>
  <si>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</si>
  <si>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</si>
  <si>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</si>
  <si>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</si>
  <si>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</si>
  <si>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</si>
  <si>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</si>
  <si>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</si>
  <si>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</si>
  <si>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</si>
  <si>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</si>
  <si>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</si>
  <si>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</si>
  <si>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</si>
  <si>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</si>
  <si>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</si>
  <si>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</si>
  <si>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</si>
  <si>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</si>
  <si>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</si>
  <si>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</si>
  <si>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</si>
  <si>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</si>
  <si>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</si>
  <si>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</si>
  <si>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</si>
  <si>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</si>
  <si>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</si>
  <si>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</si>
  <si>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</si>
  <si>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</si>
  <si>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</si>
  <si>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</si>
  <si>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</si>
  <si>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</si>
  <si>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</si>
  <si>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</si>
  <si>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</si>
  <si>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</si>
  <si>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</si>
  <si>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</si>
  <si>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</si>
  <si>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</si>
  <si>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</si>
  <si>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</si>
  <si>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</si>
  <si>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</si>
  <si>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</si>
  <si>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</si>
  <si>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</si>
  <si>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</si>
  <si>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</si>
  <si>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</si>
  <si>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</si>
  <si>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</si>
  <si>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</si>
  <si>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</si>
  <si>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</si>
  <si>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</si>
  <si>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</si>
  <si>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</si>
  <si>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</si>
  <si>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</si>
  <si>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</si>
  <si>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</si>
  <si>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</si>
  <si>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</si>
  <si>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</si>
  <si>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</si>
  <si>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</si>
  <si>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</si>
  <si>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</si>
  <si>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</si>
  <si>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</si>
  <si>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</si>
  <si>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</si>
  <si>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</si>
  <si>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</si>
  <si>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</si>
  <si>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</si>
  <si>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</si>
  <si>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</si>
  <si>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</si>
  <si>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</si>
  <si>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</si>
  <si>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</si>
  <si>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</si>
  <si>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</si>
  <si>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</si>
  <si>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</si>
  <si>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</si>
  <si>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</si>
  <si>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</si>
  <si>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</si>
  <si>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21.5x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</si>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</sst>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0.09723101071987417</v>
      </c>
    </row>
    <row r="7" spans="1:2" x14ac:dyDescent="0.25">
      <c r="A7" t="s">
        <v>5</v>
      </c>
      <c r="B7" s="6">
        <v>0.07991694679150643</v>
      </c>
    </row>
    <row r="8" spans="1:2" x14ac:dyDescent="0.25">
      <c r="A8" t="s">
        <v>6</v>
      </c>
      <c r="B8" s="6">
        <v>0.15984494951222264</v>
      </c>
    </row>
    <row r="9" spans="1:2" x14ac:dyDescent="0.25">
      <c r="A9" t="s">
        <v>7</v>
      </c>
      <c r="B9" s="6">
        <v>0.056452102413188834</v>
      </c>
    </row>
    <row r="10" spans="1:2" x14ac:dyDescent="0.25">
      <c r="A10" t="s">
        <v>8</v>
      </c>
      <c r="B10" s="6">
        <v>0.0406479405819445</v>
      </c>
    </row>
    <row r="11" spans="1:2" x14ac:dyDescent="0.25">
      <c r="A11" t="s">
        <v>9</v>
      </c>
      <c r="B11" s="6">
        <v>0.09180910475545778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0.07388667336829069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0.5222899999999999</v>
      </c>
      <c r="C19" s="8" t="s">
        <v>19</v>
      </c>
    </row>
    <row r="20" spans="1:2" x14ac:dyDescent="0.25">
      <c r="A20" t="s">
        <v>20</v>
      </c>
      <c r="B20" s="10">
        <f>B17+B19*B18</f>
        <v>0.07870595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261465063424</v>
      </c>
    </row>
    <row r="23" spans="1:2" x14ac:dyDescent="0.25">
      <c r="A23" t="s">
        <v>24</v>
      </c>
      <c r="B23" s="11">
        <v>39506000000</v>
      </c>
    </row>
    <row r="24" spans="1:2" x14ac:dyDescent="0.25">
      <c r="A24" t="s">
        <v>25</v>
      </c>
      <c r="B24" s="10">
        <f>B22/(B22+B23)</f>
        <v>0.8687382117384986</v>
      </c>
    </row>
    <row r="25" spans="1:2" x14ac:dyDescent="0.25">
      <c r="A25" t="s">
        <v>26</v>
      </c>
      <c r="B25" s="10">
        <f>1-B24</f>
        <v>0.13126178826150137</v>
      </c>
    </row>
    <row r="26" spans="1:2" x14ac:dyDescent="0.25">
      <c r="A26" t="s">
        <v>27</v>
      </c>
      <c r="B26" s="12">
        <f>B24*B20+B25*B21*(1-B8)</f>
        <v>0.07388667336829069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88603000000</v>
      </c>
      <c r="C29" s="8" t="s">
        <v>30</v>
      </c>
    </row>
    <row r="30" spans="1:2" x14ac:dyDescent="0.25">
      <c r="A30" t="s">
        <v>31</v>
      </c>
      <c r="B30" s="11">
        <v>32071000000</v>
      </c>
    </row>
    <row r="31" spans="1:2" x14ac:dyDescent="0.25">
      <c r="A31" t="s">
        <v>32</v>
      </c>
      <c r="B31" s="13">
        <v>1356400000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0.09723101071987417</v>
      </c>
      <c r="C5" s="10">
        <f>Assumptions!B6</f>
        <v>0.09723101071987417</v>
      </c>
      <c r="D5" s="10">
        <f>Assumptions!B6</f>
        <v>0.09723101071987417</v>
      </c>
      <c r="E5" s="10">
        <f>Assumptions!B6</f>
        <v>0.09723101071987417</v>
      </c>
      <c r="F5" s="10">
        <f>Assumptions!B6</f>
        <v>0.09723101071987417</v>
      </c>
    </row>
    <row r="6" spans="1:6" x14ac:dyDescent="0.25">
      <c r="A6" t="s">
        <v>43</v>
      </c>
      <c r="B6" s="18">
        <f>Assumptions!B29*(1+B5)</f>
        <v>97217959242.813</v>
      </c>
      <c r="C6" s="18">
        <f>B6*(1+C5)</f>
        <v>106670559680.11525</v>
      </c>
      <c r="D6" s="18">
        <f>C6*(1+D5)</f>
        <v>117042246011.86751</v>
      </c>
      <c r="E6" s="18">
        <f>D6*(1+E5)</f>
        <v>128422381888.52554</v>
      </c>
      <c r="F6" s="18">
        <f>E6*(1+F5)</f>
        <v>140909019878.60056</v>
      </c>
    </row>
    <row r="7" spans="1:6" x14ac:dyDescent="0.25">
      <c r="A7" t="s">
        <v>5</v>
      </c>
      <c r="B7" s="10">
        <f>Assumptions!B7</f>
        <v>0.07991694679150643</v>
      </c>
      <c r="C7" s="10">
        <f>Assumptions!B7</f>
        <v>0.07991694679150643</v>
      </c>
      <c r="D7" s="10">
        <f>Assumptions!B7</f>
        <v>0.07991694679150643</v>
      </c>
      <c r="E7" s="10">
        <f>Assumptions!B7</f>
        <v>0.07991694679150643</v>
      </c>
      <c r="F7" s="10">
        <f>Assumptions!B7</f>
        <v>0.07991694679150643</v>
      </c>
    </row>
    <row r="8" spans="1:6" x14ac:dyDescent="0.25">
      <c r="A8" t="s">
        <v>44</v>
      </c>
      <c r="B8" s="18">
        <f>B6*B7</f>
        <v>7769362475.986728</v>
      </c>
      <c r="C8" s="18">
        <f>C6*C7</f>
        <v>8524785442.1759815</v>
      </c>
      <c r="D8" s="18">
        <f>D6*D7</f>
        <v>9353658946.88882</v>
      </c>
      <c r="E8" s="18">
        <f>E6*E7</f>
        <v>10263124660.223816</v>
      </c>
      <c r="F8" s="18">
        <f>F6*F7</f>
        <v>11261018644.081442</v>
      </c>
    </row>
    <row r="9" spans="1:6" x14ac:dyDescent="0.25">
      <c r="A9" t="s">
        <v>45</v>
      </c>
      <c r="B9" s="18">
        <f>B8*(1-Assumptions!B8)</f>
        <v>6527469123.270473</v>
      </c>
      <c r="C9" s="18">
        <f>C8*(1-Assumptions!B8)</f>
        <v>7162141543.568831</v>
      </c>
      <c r="D9" s="18">
        <f>D8*(1-Assumptions!B8)</f>
        <v>7858523804.768827</v>
      </c>
      <c r="E9" s="18">
        <f>E8*(1-Assumptions!B8)</f>
        <v>8622616017.072693</v>
      </c>
      <c r="F9" s="18">
        <f>F8*(1-Assumptions!B8)</f>
        <v>9461001687.462046</v>
      </c>
    </row>
    <row r="10" spans="1:6" x14ac:dyDescent="0.25">
      <c r="A10" t="s">
        <v>46</v>
      </c>
      <c r="B10" s="18">
        <f>B6*Assumptions!B9</f>
        <v>5488158191.576498</v>
      </c>
      <c r="C10" s="18">
        <f>C6*Assumptions!B9</f>
        <v>6021777359.534038</v>
      </c>
      <c r="D10" s="18">
        <f>D6*Assumptions!B9</f>
        <v>6607280858.531587</v>
      </c>
      <c r="E10" s="18">
        <f>E6*Assumptions!B9</f>
        <v>7249713454.516691</v>
      </c>
      <c r="F10" s="18">
        <f>F6*Assumptions!B9</f>
        <v>7954610421.128819</v>
      </c>
    </row>
    <row r="11" spans="1:6" x14ac:dyDescent="0.25">
      <c r="A11" t="s">
        <v>47</v>
      </c>
      <c r="B11" s="18">
        <f>-B6*Assumptions!B10</f>
        <v>-3951709830.799765</v>
      </c>
      <c r="C11" s="18">
        <f>-C6*Assumptions!B10</f>
        <v>-4335938571.720089</v>
      </c>
      <c r="D11" s="18">
        <f>-D6*Assumptions!B10</f>
        <v>-4757526261.467721</v>
      </c>
      <c r="E11" s="18">
        <f>-E6*Assumptions!B10</f>
        <v>-5220105348.396572</v>
      </c>
      <c r="F11" s="18">
        <f>-F6*Assumptions!B10</f>
        <v>-5727661467.485392</v>
      </c>
    </row>
    <row r="12" spans="1:6" x14ac:dyDescent="0.25">
      <c r="A12" t="s">
        <v>48</v>
      </c>
      <c r="B12" s="18">
        <f>-(B6-Assumptions!B29)*Assumptions!B11</f>
        <v>-790931695.5874183</v>
      </c>
      <c r="C12" s="18">
        <f>-(C6-B6)*Assumptions!B11</f>
        <v>-867834783.759768</v>
      </c>
      <c r="D12" s="18">
        <f>-(D6-C6)*Assumptions!B11</f>
        <v>-952215236.9225928</v>
      </c>
      <c r="E12" s="18">
        <f>-(E6-D6)*Assumptions!B11</f>
        <v>-1044800086.8314409</v>
      </c>
      <c r="F12" s="18">
        <f>-(F6-E6)*Assumptions!B11</f>
        <v>-1146387055.2742755</v>
      </c>
    </row>
    <row r="13" spans="1:6" x14ac:dyDescent="0.25">
      <c r="A13" s="19" t="s">
        <v>49</v>
      </c>
      <c r="B13" s="20">
        <f>B9+B10+B11+B12</f>
        <v>7272985788.459786</v>
      </c>
      <c r="C13" s="20">
        <f>C9+C10+C11+C12</f>
        <v>7980145547.623013</v>
      </c>
      <c r="D13" s="20">
        <f>D9+D10+D11+D12</f>
        <v>8756063164.910103</v>
      </c>
      <c r="E13" s="20">
        <f>E9+E10+E11+E12</f>
        <v>9607424036.36137</v>
      </c>
      <c r="F13" s="20">
        <f>F9+F10+F11+F12</f>
        <v>10541563585.8312</v>
      </c>
    </row>
    <row r="14" spans="1:6" x14ac:dyDescent="0.25">
      <c r="A14" t="s">
        <v>50</v>
      </c>
      <c r="B14" s="21">
        <f>1/(1+Assumptions!$B$26)^(1-0.5*Assumptions!$B$32)</f>
        <v>0.9649854686791693</v>
      </c>
      <c r="C14" s="21">
        <f>1/(1+Assumptions!$B$26)^(2-0.5*Assumptions!$B$32)</f>
        <v>0.8985915298235818</v>
      </c>
      <c r="D14" s="21">
        <f>1/(1+Assumptions!$B$26)^(3-0.5*Assumptions!$B$32)</f>
        <v>0.8367656961466068</v>
      </c>
      <c r="E14" s="21">
        <f>1/(1+Assumptions!$B$26)^(4-0.5*Assumptions!$B$32)</f>
        <v>0.7791936681009887</v>
      </c>
      <c r="F14" s="21">
        <f>1/(1+Assumptions!$B$26)^(5-0.5*Assumptions!$B$32)</f>
        <v>0.7255827709054392</v>
      </c>
    </row>
    <row r="15" spans="1:6" x14ac:dyDescent="0.25">
      <c r="A15" s="19" t="s">
        <v>51</v>
      </c>
      <c r="B15" s="20">
        <f>B13*B14</f>
        <v>7018325599.773805</v>
      </c>
      <c r="C15" s="20">
        <f>C13*C14</f>
        <v>7170891195.853408</v>
      </c>
      <c r="D15" s="20">
        <f>D13*D14</f>
        <v>7326773289.689663</v>
      </c>
      <c r="E15" s="20">
        <f>E13*E14</f>
        <v>7486043975.894022</v>
      </c>
      <c r="F15" s="20">
        <f>F13*F14</f>
        <v>7648776916.283279</v>
      </c>
    </row>
    <row r="17" spans="1:2" x14ac:dyDescent="0.25">
      <c r="A17" s="22" t="s">
        <v>52</v>
      </c>
      <c r="B17" s="23">
        <f>SUM(B15:F15)</f>
        <v>36650810977.49418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10541563585.8312</v>
      </c>
    </row>
    <row r="5" spans="1:2" x14ac:dyDescent="0.25">
      <c r="A5" t="s">
        <v>56</v>
      </c>
      <c r="B5" s="18">
        <f>IF(Assumptions!$B$33=0,B4,B4-Forecast!F11-Forecast!F10-Forecast!F12)</f>
        <v>9461001687.462046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0.33835601009381805</v>
      </c>
    </row>
    <row r="7" spans="1:2" x14ac:dyDescent="0.25">
      <c r="A7" t="s">
        <v>58</v>
      </c>
      <c r="B7" s="18">
        <f>-MAX(Forecast!F9,0)*B6</f>
        <v>-3201186782.4605374</v>
      </c>
    </row>
    <row r="8" spans="1:2" x14ac:dyDescent="0.25">
      <c r="A8" t="s">
        <v>59</v>
      </c>
      <c r="B8" s="18">
        <f>IF(OR(Assumptions!$B$33=0,Assumptions!B12&lt;=0),B5,MAX(B5+B7,0))</f>
        <v>6259814905.001509</v>
      </c>
    </row>
    <row r="9" spans="1:2" x14ac:dyDescent="0.25">
      <c r="A9" t="s">
        <v>60</v>
      </c>
      <c r="B9" s="18">
        <f>B8*(1+Assumptions!B12)/(Assumptions!B26-Assumptions!B12)</f>
        <v>131248658080.88203</v>
      </c>
    </row>
    <row r="10" spans="1:2" x14ac:dyDescent="0.25">
      <c r="A10" t="s">
        <v>61</v>
      </c>
      <c r="B10" s="18">
        <f>B9/(1+Assumptions!B26)^(5-0.5*Assumptions!B32)</f>
        <v>95231765007.94695</v>
      </c>
    </row>
    <row r="11" spans="1:2" x14ac:dyDescent="0.25">
      <c r="A11" t="s">
        <v>62</v>
      </c>
      <c r="B11" s="18">
        <f>Forecast!B17+B10</f>
        <v>131882575985.44113</v>
      </c>
    </row>
    <row r="12" spans="1:2" x14ac:dyDescent="0.25">
      <c r="A12" t="s">
        <v>63</v>
      </c>
      <c r="B12" s="18">
        <f>-Assumptions!B30</f>
        <v>-32071000000</v>
      </c>
    </row>
    <row r="13" spans="1:2" x14ac:dyDescent="0.25">
      <c r="A13" t="s">
        <v>64</v>
      </c>
      <c r="B13" s="18">
        <f>B11+B12</f>
        <v>99811575985.44113</v>
      </c>
    </row>
    <row r="14" spans="1:2" x14ac:dyDescent="0.25">
      <c r="A14" s="19" t="s">
        <v>65</v>
      </c>
      <c r="B14" s="24">
        <f>B13/Assumptions!B31</f>
        <v>73.58565023993006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19215629065.210262</v>
      </c>
    </row>
    <row r="18" spans="1:2" x14ac:dyDescent="0.25">
      <c r="A18" t="s">
        <v>60</v>
      </c>
      <c r="B18" s="18">
        <f>B17*Assumptions!B13</f>
        <v>384312581304.20526</v>
      </c>
    </row>
    <row r="19" spans="1:2" x14ac:dyDescent="0.25">
      <c r="A19" t="s">
        <v>61</v>
      </c>
      <c r="B19" s="18">
        <f>B18/(1+Assumptions!B26)^(5-0.5*Assumptions!B32)</f>
        <v>278850587636.52716</v>
      </c>
    </row>
    <row r="20" spans="1:2" x14ac:dyDescent="0.25">
      <c r="A20" t="s">
        <v>62</v>
      </c>
      <c r="B20" s="18">
        <f>Forecast!B17+B19</f>
        <v>315501398614.02136</v>
      </c>
    </row>
    <row r="21" spans="1:2" x14ac:dyDescent="0.25">
      <c r="A21" t="s">
        <v>63</v>
      </c>
      <c r="B21" s="18">
        <f>-Assumptions!B30</f>
        <v>-32071000000</v>
      </c>
    </row>
    <row r="22" spans="1:2" x14ac:dyDescent="0.25">
      <c r="A22" t="s">
        <v>64</v>
      </c>
      <c r="B22" s="18">
        <f>B20+B21</f>
        <v>283430398614.02136</v>
      </c>
    </row>
    <row r="23" spans="1:2" x14ac:dyDescent="0.25">
      <c r="A23" s="19" t="s">
        <v>65</v>
      </c>
      <c r="B23" s="25">
        <f>B22/Assumptions!B31</f>
        <v>208.95782852699895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194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73.58565023993006</v>
      </c>
    </row>
    <row r="29" spans="1:2" x14ac:dyDescent="0.25">
      <c r="A29" s="19" t="s">
        <v>73</v>
      </c>
      <c r="B29" s="12">
        <f>B28/B26-1</f>
        <v>-0.620692524536443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0.053887</v>
      </c>
      <c r="B5" s="31">
        <v>108.45243914765246</v>
      </c>
      <c r="C5" s="31">
        <v>108.96348765444756</v>
      </c>
      <c r="D5" s="31">
        <v>109.47453616124267</v>
      </c>
      <c r="E5" s="31">
        <v>109.98558466803773</v>
      </c>
      <c r="F5" s="31">
        <v>110.49663317483287</v>
      </c>
    </row>
    <row r="6" spans="1:6" x14ac:dyDescent="0.25">
      <c r="A6" s="30">
        <v>0.063887</v>
      </c>
      <c r="B6" s="31">
        <v>87.89293637612647</v>
      </c>
      <c r="C6" s="31">
        <v>88.30605720176416</v>
      </c>
      <c r="D6" s="31">
        <v>88.71917802740184</v>
      </c>
      <c r="E6" s="31">
        <v>89.13229885303953</v>
      </c>
      <c r="F6" s="31">
        <v>89.54541967867722</v>
      </c>
    </row>
    <row r="7" spans="1:6" x14ac:dyDescent="0.25">
      <c r="A7" s="30">
        <v>0.073887</v>
      </c>
      <c r="B7" s="31">
        <v>72.90025898767429</v>
      </c>
      <c r="C7" s="31">
        <v>73.24274092937551</v>
      </c>
      <c r="D7" s="32">
        <v>73.58522287107672</v>
      </c>
      <c r="E7" s="31">
        <v>73.92770481277792</v>
      </c>
      <c r="F7" s="31">
        <v>74.27018675447913</v>
      </c>
    </row>
    <row r="8" spans="1:6" x14ac:dyDescent="0.25">
      <c r="A8" s="30">
        <v>0.083887</v>
      </c>
      <c r="B8" s="31">
        <v>61.483661649462086</v>
      </c>
      <c r="C8" s="31">
        <v>61.77299376758291</v>
      </c>
      <c r="D8" s="31">
        <v>62.062325885703736</v>
      </c>
      <c r="E8" s="31">
        <v>62.351658003824575</v>
      </c>
      <c r="F8" s="31">
        <v>62.640990121945386</v>
      </c>
    </row>
    <row r="9" spans="1:6" x14ac:dyDescent="0.25">
      <c r="A9" s="30">
        <v>0.093887</v>
      </c>
      <c r="B9" s="31">
        <v>52.500531321546305</v>
      </c>
      <c r="C9" s="31">
        <v>52.74858050746198</v>
      </c>
      <c r="D9" s="31">
        <v>52.996629693377635</v>
      </c>
      <c r="E9" s="31">
        <v>53.24467887929332</v>
      </c>
      <c r="F9" s="31">
        <v>53.492728065208965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88603000000</v>
      </c>
      <c r="C5" s="18">
        <v>80738000000</v>
      </c>
      <c r="D5" s="18">
        <v>68920000000</v>
      </c>
      <c r="E5" s="18">
        <v>67074000000</v>
      </c>
      <c r="F5" s="8" t="s">
        <v>84</v>
      </c>
    </row>
    <row r="6" spans="1:6" x14ac:dyDescent="0.25">
      <c r="A6" t="s">
        <v>44</v>
      </c>
      <c r="B6" s="18">
        <v>9300000000</v>
      </c>
      <c r="C6" s="18">
        <v>6538000000</v>
      </c>
      <c r="D6" s="18">
        <v>3561000000</v>
      </c>
      <c r="E6" s="18">
        <v>5504000000</v>
      </c>
      <c r="F6" s="8" t="s">
        <v>85</v>
      </c>
    </row>
    <row r="7" spans="1:6" x14ac:dyDescent="0.25">
      <c r="A7" t="s">
        <v>86</v>
      </c>
      <c r="B7" s="18">
        <v>4378000000</v>
      </c>
      <c r="C7" s="18">
        <v>4364000000</v>
      </c>
      <c r="D7" s="18">
        <v>4211000000</v>
      </c>
      <c r="E7" s="18">
        <v>4108000000</v>
      </c>
      <c r="F7" s="8" t="s">
        <v>87</v>
      </c>
    </row>
    <row r="8" spans="1:6" x14ac:dyDescent="0.25">
      <c r="A8" t="s">
        <v>88</v>
      </c>
      <c r="B8" s="18">
        <v>3119000000</v>
      </c>
      <c r="C8" s="18">
        <v>3236000000</v>
      </c>
      <c r="D8" s="18">
        <v>3166000000</v>
      </c>
      <c r="E8" s="18">
        <v>2775000000</v>
      </c>
      <c r="F8" s="8" t="s">
        <v>89</v>
      </c>
    </row>
    <row r="9" spans="1:6" x14ac:dyDescent="0.25">
      <c r="A9" t="s">
        <v>90</v>
      </c>
      <c r="B9" s="18">
        <v>1274000000</v>
      </c>
      <c r="C9" s="18">
        <v>1085000000</v>
      </c>
      <c r="D9" s="18">
        <v>-1515000000</v>
      </c>
      <c r="E9" s="18">
        <v>-522000000</v>
      </c>
      <c r="F9" s="8" t="s">
        <v>91</v>
      </c>
    </row>
    <row r="10" spans="1:6" x14ac:dyDescent="0.25">
      <c r="A10" t="s">
        <v>92</v>
      </c>
      <c r="B10" s="18">
        <v>39506000000</v>
      </c>
      <c r="C10" s="18">
        <v>42893000000</v>
      </c>
      <c r="D10" s="18">
        <v>45239000000</v>
      </c>
      <c r="E10" s="18">
        <v>33500000000</v>
      </c>
      <c r="F10" s="8" t="s">
        <v>93</v>
      </c>
    </row>
    <row r="11" spans="1:6" x14ac:dyDescent="0.25">
      <c r="A11" t="s">
        <v>94</v>
      </c>
      <c r="B11" s="18">
        <v>7435000000</v>
      </c>
      <c r="C11" s="18">
        <v>5578000000</v>
      </c>
      <c r="D11" s="18">
        <v>6587000000</v>
      </c>
      <c r="E11" s="18">
        <v>6220000000</v>
      </c>
      <c r="F11" s="8" t="s">
        <v>95</v>
      </c>
    </row>
    <row r="12" spans="1:6" x14ac:dyDescent="0.25">
      <c r="A12" t="s">
        <v>32</v>
      </c>
      <c r="B12" s="34">
        <v>1356400000</v>
      </c>
      <c r="C12" s="34">
        <v>1343600000</v>
      </c>
      <c r="D12" s="34">
        <v>1435400000</v>
      </c>
      <c r="E12" s="34">
        <v>1485900000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2026-09-19T00:06:28Z</dcterms:modified>
</cp:coreProperties>
</file>