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<sst xmlns="http://schemas.openxmlformats.org/spreadsheetml/2006/main" count="120" uniqueCount="107">
  <si>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RTX Corporation (RTX)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</si>
  <si>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</si>
  <si>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</si>
  <si>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</si>
  <si>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</si>
  <si>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</si>
  <si>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</si>
  <si>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</si>
  <si>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</si>
  <si>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</si>
  <si>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</si>
  <si>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</si>
  <si>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</si>
  <si>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</si>
  <si>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</si>
  <si>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</si>
  <si>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</si>
  <si>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</si>
  <si>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</si>
  <si>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</si>
  <si>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</si>
  <si>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</si>
  <si>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</si>
  <si>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</si>
  <si>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5.1x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</si>
  <si>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</si>
  <si>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</si>
  <si>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</si>
  <si>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</si>
  <si>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</si>
  <si>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</si>
  <si>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</si>
  <si>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</si>
  <si>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</si>
  <si>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</si>
  <si>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</si>
  <si>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</si>
  <si>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</si>
  <si>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</si>
  <si>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</si>
  <si>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</si>
  <si>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</si>
  <si>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</si>
  <si>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</si>
  <si>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</si>
  <si>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</si>
  <si>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</si>
  <si>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</si>
  <si>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</si>
  <si>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</si>
  <si>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</si>
  <si>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</si>
  <si>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</si>
  <si>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</si>
  <si>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</si>
  <si>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</si>
  <si>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</si>
  <si>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</si>
  <si>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</si>
  <si>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</si>
  <si>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</si>
  <si>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</si>
  <si>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</si>
  <si>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</si>
  <si>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</si>
  <si>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</si>
  <si>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</si>
  <si>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</si>
  <si>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</si>
  <si>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</si>
  <si>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</si>
  <si>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</si>
  <si>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</si>
  <si>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</si>
  <si>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</si>
  <si>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</si>
  <si>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</si>
  <si>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</si>
  <si>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</si>
  <si>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</si>
  <si>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</si>
  <si>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</si>
  <si>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</si>
  <si>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</si>
  <si>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</si>
  <si>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</si>
  <si>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</si>
  <si>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</si>
  <si>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</si>
  <si>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</si>
  <si>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</si>
  <si>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</si>
  <si>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</si>
  <si>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</si>
  <si>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</si>
  <si>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</si>
  <si>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</si>
  <si>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</si>
  <si>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</si>
  <si>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</si>
  <si>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</si>
  <si>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</si>
  <si>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</si>
  <si>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</si>
  <si>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</si>
  <si>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22.1x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</si>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</sst>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0.09934234619595284</v>
      </c>
    </row>
    <row r="7" spans="1:2" x14ac:dyDescent="0.25">
      <c r="A7" t="s">
        <v>4</v>
      </c>
      <c r="B7" s="5">
        <v>0.07991694679150643</v>
      </c>
    </row>
    <row r="8" spans="1:2" x14ac:dyDescent="0.25">
      <c r="A8" t="s">
        <v>5</v>
      </c>
      <c r="B8" s="5">
        <v>0.15984494951222264</v>
      </c>
    </row>
    <row r="9" spans="1:2" x14ac:dyDescent="0.25">
      <c r="A9" t="s">
        <v>6</v>
      </c>
      <c r="B9" s="5">
        <v>0.056452102413188834</v>
      </c>
    </row>
    <row r="10" spans="1:3" x14ac:dyDescent="0.25">
      <c r="A10" t="s">
        <v>7</v>
      </c>
      <c r="B10" s="5">
        <v>0.0406479405819445</v>
      </c>
      <c r="C10" s="6" t="s">
        <v>8</v>
      </c>
    </row>
    <row r="11" spans="1:2" x14ac:dyDescent="0.25">
      <c r="A11" t="s">
        <v>9</v>
      </c>
      <c r="B11" s="5">
        <v>0.1419469542197587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0.06856624863736804</v>
      </c>
      <c r="C14" s="6" t="s">
        <v>13</v>
      </c>
    </row>
    <row r="15" spans="1:3" x14ac:dyDescent="0.25">
      <c r="A15" t="s">
        <v>14</v>
      </c>
      <c r="B15" s="5">
        <v>0.056452102413188834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0.53636</v>
      </c>
      <c r="C19" s="6" t="s">
        <v>21</v>
      </c>
    </row>
    <row r="20" spans="1:2" x14ac:dyDescent="0.25">
      <c r="A20" t="s">
        <v>22</v>
      </c>
      <c r="B20" s="9">
        <f>B17+B19*B18</f>
        <v>0.071628028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269618216960</v>
      </c>
    </row>
    <row r="23" spans="1:2" x14ac:dyDescent="0.25">
      <c r="A23" t="s">
        <v>26</v>
      </c>
      <c r="B23" s="10">
        <v>39506000000</v>
      </c>
    </row>
    <row r="24" spans="1:2" x14ac:dyDescent="0.25">
      <c r="A24" t="s">
        <v>27</v>
      </c>
      <c r="B24" s="9">
        <f>B22/(B22+B23)</f>
        <v>0.8722002423863414</v>
      </c>
    </row>
    <row r="25" spans="1:2" x14ac:dyDescent="0.25">
      <c r="A25" t="s">
        <v>28</v>
      </c>
      <c r="B25" s="9">
        <f>1-B24</f>
        <v>0.12779975761365858</v>
      </c>
    </row>
    <row r="26" spans="1:2" x14ac:dyDescent="0.25">
      <c r="A26" t="s">
        <v>29</v>
      </c>
      <c r="B26" s="11">
        <f>B24*B20+B25*B21*(1-B8)</f>
        <v>0.06856624863736804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88603000000</v>
      </c>
      <c r="C29" s="6" t="s">
        <v>32</v>
      </c>
    </row>
    <row r="30" spans="1:2" x14ac:dyDescent="0.25">
      <c r="A30" t="s">
        <v>33</v>
      </c>
      <c r="B30" s="10">
        <v>32071000000</v>
      </c>
    </row>
    <row r="31" spans="1:2" x14ac:dyDescent="0.25">
      <c r="A31" t="s">
        <v>34</v>
      </c>
      <c r="B31" s="12">
        <v>1356400000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0.09934234619595284</v>
      </c>
      <c r="C5" s="5">
        <v>0.07707226647029652</v>
      </c>
      <c r="D5" s="5">
        <v>0.07056323316150946</v>
      </c>
      <c r="E5" s="5">
        <v>0.0640541998527224</v>
      </c>
      <c r="F5" s="5">
        <v>0.05754516654393533</v>
      </c>
      <c r="G5" s="5">
        <v>0.05103613323514826</v>
      </c>
      <c r="H5" s="5">
        <v>0.0445270999263612</v>
      </c>
      <c r="I5" s="5">
        <v>0.038018066617574134</v>
      </c>
      <c r="J5" s="5">
        <v>0.031509033308787064</v>
      </c>
      <c r="K5" s="5">
        <v>0.025</v>
      </c>
    </row>
    <row r="6" spans="1:11" x14ac:dyDescent="0.25">
      <c r="A6" t="s">
        <v>50</v>
      </c>
      <c r="B6" s="18">
        <f>Assumptions!B29*(1+B5)</f>
        <v>97405029900.00002</v>
      </c>
      <c r="C6" s="18">
        <f>B6*(1+C5)</f>
        <v>104912256320.00002</v>
      </c>
      <c r="D6" s="18">
        <f>C6*(1+D5)</f>
        <v>112315204324.2082</v>
      </c>
      <c r="E6" s="18">
        <f>D6*(1+E5)</f>
        <v>119509464868.49039</v>
      </c>
      <c r="F6" s="18">
        <f>E6*(1+F5)</f>
        <v>126386656927.92424</v>
      </c>
      <c r="G6" s="18">
        <f>F6*(1+G5)</f>
        <v>132836943190.04277</v>
      </c>
      <c r="H6" s="18">
        <f>G6*(1+H5)</f>
        <v>138751787033.37817</v>
      </c>
      <c r="I6" s="18">
        <f>H6*(1+I5)</f>
        <v>144026861716.1206</v>
      </c>
      <c r="J6" s="18">
        <f>I6*(1+J5)</f>
        <v>148565008899.2939</v>
      </c>
      <c r="K6" s="18">
        <f>J6*(1+K5)</f>
        <v>152279134121.77625</v>
      </c>
    </row>
    <row r="7" spans="1:11" x14ac:dyDescent="0.25">
      <c r="A7" t="s">
        <v>4</v>
      </c>
      <c r="B7" s="9">
        <f>Assumptions!B7</f>
        <v>0.07991694679150643</v>
      </c>
      <c r="C7" s="9">
        <f>Assumptions!B7</f>
        <v>0.07991694679150643</v>
      </c>
      <c r="D7" s="9">
        <f>Assumptions!B7</f>
        <v>0.07991694679150643</v>
      </c>
      <c r="E7" s="9">
        <f>Assumptions!B7</f>
        <v>0.07991694679150643</v>
      </c>
      <c r="F7" s="9">
        <f>Assumptions!B7</f>
        <v>0.07991694679150643</v>
      </c>
      <c r="G7" s="9">
        <f>Assumptions!B7</f>
        <v>0.07991694679150643</v>
      </c>
      <c r="H7" s="9">
        <f>Assumptions!B7</f>
        <v>0.07991694679150643</v>
      </c>
      <c r="I7" s="9">
        <f>Assumptions!B7</f>
        <v>0.07991694679150643</v>
      </c>
      <c r="J7" s="9">
        <f>Assumptions!B7</f>
        <v>0.07991694679150643</v>
      </c>
      <c r="K7" s="9">
        <f>Assumptions!B7</f>
        <v>0.07991694679150643</v>
      </c>
    </row>
    <row r="8" spans="1:11" x14ac:dyDescent="0.25">
      <c r="A8" t="s">
        <v>51</v>
      </c>
      <c r="B8" s="18">
        <f>B6*B7</f>
        <v>7784312591.743394</v>
      </c>
      <c r="C8" s="18">
        <f>C6*C7</f>
        <v>8384267206.102325</v>
      </c>
      <c r="D8" s="18">
        <f>D6*D7</f>
        <v>8975888207.854921</v>
      </c>
      <c r="E8" s="18">
        <f>E6*E7</f>
        <v>9550831544.976553</v>
      </c>
      <c r="F8" s="18">
        <f>F6*F7</f>
        <v>10100435736.8653</v>
      </c>
      <c r="G8" s="18">
        <f>G6*G7</f>
        <v>10615922920.865011</v>
      </c>
      <c r="H8" s="18">
        <f>H6*H7</f>
        <v>11088619181.572916</v>
      </c>
      <c r="I8" s="18">
        <f>I6*I7</f>
        <v>11510187044.314865</v>
      </c>
      <c r="J8" s="18">
        <f>J6*J7</f>
        <v>11872861911.284552</v>
      </c>
      <c r="K8" s="18">
        <f>K6*K7</f>
        <v>12169683459.066664</v>
      </c>
    </row>
    <row r="9" spans="1:11" x14ac:dyDescent="0.25">
      <c r="A9" t="s">
        <v>52</v>
      </c>
      <c r="B9" s="18">
        <f>B8*(1-Assumptions!B8)</f>
        <v>6540029538.528812</v>
      </c>
      <c r="C9" s="18">
        <f>C8*(1-Assumptions!B8)</f>
        <v>7044084437.845916</v>
      </c>
      <c r="D9" s="18">
        <f>D8*(1-Assumptions!B8)</f>
        <v>7541137810.442997</v>
      </c>
      <c r="E9" s="18">
        <f>E8*(1-Assumptions!B8)</f>
        <v>8024179358.870032</v>
      </c>
      <c r="F9" s="18">
        <f>F8*(1-Assumptions!B8)</f>
        <v>8485932096.454617</v>
      </c>
      <c r="G9" s="18">
        <f>G8*(1-Assumptions!B8)</f>
        <v>8919021257.553698</v>
      </c>
      <c r="H9" s="18">
        <f>H8*(1-Assumptions!B8)</f>
        <v>9316159408.33413</v>
      </c>
      <c r="I9" s="18">
        <f>I8*(1-Assumptions!B8)</f>
        <v>9670341777.340117</v>
      </c>
      <c r="J9" s="18">
        <f>J8*(1-Assumptions!B8)</f>
        <v>9975044898.509682</v>
      </c>
      <c r="K9" s="18">
        <f>K8*(1-Assumptions!B8)</f>
        <v>10224421020.972422</v>
      </c>
    </row>
    <row r="10" spans="1:11" x14ac:dyDescent="0.25">
      <c r="A10" t="s">
        <v>53</v>
      </c>
      <c r="B10" s="18">
        <f>B6*Assumptions!B9</f>
        <v>5498718723.474522</v>
      </c>
      <c r="C10" s="18">
        <f>C6*Assumptions!B9</f>
        <v>5922517438.175359</v>
      </c>
      <c r="D10" s="18">
        <f>D6*Assumptions!B9</f>
        <v>6340429417.068431</v>
      </c>
      <c r="E10" s="18">
        <f>E6*Assumptions!B9</f>
        <v>6746560550.101413</v>
      </c>
      <c r="F10" s="18">
        <f>F6*Assumptions!B9</f>
        <v>7134792500.555741</v>
      </c>
      <c r="G10" s="18">
        <f>G6*Assumptions!B9</f>
        <v>7498924721.219241</v>
      </c>
      <c r="H10" s="18">
        <f>H6*Assumptions!B9</f>
        <v>7832830091.621231</v>
      </c>
      <c r="I10" s="18">
        <f>I6*Assumptions!B9</f>
        <v>8130619147.848626</v>
      </c>
      <c r="J10" s="18">
        <f>J6*Assumptions!B9</f>
        <v>8386807097.399251</v>
      </c>
      <c r="K10" s="18">
        <f>K6*Assumptions!B9</f>
        <v>8596477274.83423</v>
      </c>
    </row>
    <row r="11" spans="1:11" x14ac:dyDescent="0.25">
      <c r="A11" t="s">
        <v>54</v>
      </c>
      <c r="B11" s="18">
        <f>-B6*B19</f>
        <v>-3959313867.757728</v>
      </c>
      <c r="C11" s="18">
        <f>-C6*C19</f>
        <v>-4734067169.718454</v>
      </c>
      <c r="D11" s="18">
        <f>-D6*D19</f>
        <v>-5570854758.615718</v>
      </c>
      <c r="E11" s="18">
        <f>-E6*E19</f>
        <v>-6462630290.5346775</v>
      </c>
      <c r="F11" s="18">
        <f>-F6*F19</f>
        <v>-7400245462.168211</v>
      </c>
      <c r="G11" s="18">
        <f>-G6*G19</f>
        <v>-8372519675.9662895</v>
      </c>
      <c r="H11" s="18">
        <f>-H6*H19</f>
        <v>-9366393556.461884</v>
      </c>
      <c r="I11" s="18">
        <f>-I6*I19</f>
        <v>-10367167466.227379</v>
      </c>
      <c r="J11" s="18">
        <f>-J6*J19</f>
        <v>-11358821925.087648</v>
      </c>
      <c r="K11" s="18">
        <f>-K6*K19</f>
        <v>-12324412382.910202</v>
      </c>
    </row>
    <row r="12" spans="1:11" x14ac:dyDescent="0.25">
      <c r="A12" t="s">
        <v>55</v>
      </c>
      <c r="B12" s="18">
        <f>-(B6-Assumptions!B29)*Assumptions!B11</f>
        <v>-1249421335.2562494</v>
      </c>
      <c r="C12" s="18">
        <f>-(C6-B6)*Assumptions!B11</f>
        <v>-1065627924.957103</v>
      </c>
      <c r="D12" s="18">
        <f>-(D6-C6)*Assumptions!B11</f>
        <v>-1050825921.4445941</v>
      </c>
      <c r="E12" s="18">
        <f>-(E6-D6)*Assumptions!B11</f>
        <v>-1021203372.124239</v>
      </c>
      <c r="F12" s="18">
        <f>-(F6-E6)*Assumptions!B11</f>
        <v>-976196466.4209452</v>
      </c>
      <c r="G12" s="18">
        <f>-(G6-F6)*Assumptions!B11</f>
        <v>-915598488.7532774</v>
      </c>
      <c r="H12" s="18">
        <f>-(H6-G6)*Assumptions!B11</f>
        <v>-839594068.246952</v>
      </c>
      <c r="I12" s="18">
        <f>-(I6-H6)*Assumptions!B11</f>
        <v>-748780784.497048</v>
      </c>
      <c r="J12" s="18">
        <f>-(J6-I6)*Assumptions!B11</f>
        <v>-644176170.4524286</v>
      </c>
      <c r="K12" s="18">
        <f>-(K6-J6)*Assumptions!B11</f>
        <v>-527208762.92215043</v>
      </c>
    </row>
    <row r="13" spans="1:11" x14ac:dyDescent="0.25">
      <c r="A13" s="19" t="s">
        <v>56</v>
      </c>
      <c r="B13" s="20">
        <f>B9+B10+B11+B12</f>
        <v>6830013058.989356</v>
      </c>
      <c r="C13" s="20">
        <f>C9+C10+C11+C12</f>
        <v>7166906781.345717</v>
      </c>
      <c r="D13" s="20">
        <f>D9+D10+D11+D12</f>
        <v>7259886547.451117</v>
      </c>
      <c r="E13" s="20">
        <f>E9+E10+E11+E12</f>
        <v>7286906246.312529</v>
      </c>
      <c r="F13" s="20">
        <f>F9+F10+F11+F12</f>
        <v>7244282668.421201</v>
      </c>
      <c r="G13" s="20">
        <f>G9+G10+G11+G12</f>
        <v>7129827814.05337</v>
      </c>
      <c r="H13" s="20">
        <f>H9+H10+H11+H12</f>
        <v>6943001875.246525</v>
      </c>
      <c r="I13" s="20">
        <f>I9+I10+I11+I12</f>
        <v>6685012674.464316</v>
      </c>
      <c r="J13" s="20">
        <f>J9+J10+J11+J12</f>
        <v>6358853900.3688545</v>
      </c>
      <c r="K13" s="20">
        <f>K9+K10+K11+K12</f>
        <v>5969277149.974299</v>
      </c>
    </row>
    <row r="14" spans="1:11" x14ac:dyDescent="0.25">
      <c r="A14" t="s">
        <v>57</v>
      </c>
      <c r="B14" s="21">
        <f>1/(1+Assumptions!$B$26)^(1-0.5*Assumptions!$B$32)</f>
        <v>0.9673848321571146</v>
      </c>
      <c r="C14" s="21">
        <f>1/(1+Assumptions!$B$26)^(2-0.5*Assumptions!$B$32)</f>
        <v>0.9053110496337688</v>
      </c>
      <c r="D14" s="21">
        <f>1/(1+Assumptions!$B$26)^(3-0.5*Assumptions!$B$32)</f>
        <v>0.8472203298468564</v>
      </c>
      <c r="E14" s="21">
        <f>1/(1+Assumptions!$B$26)^(4-0.5*Assumptions!$B$32)</f>
        <v>0.7928570932567154</v>
      </c>
      <c r="F14" s="21">
        <f>1/(1+Assumptions!$B$26)^(5-0.5*Assumptions!$B$32)</f>
        <v>0.7419821599903271</v>
      </c>
      <c r="G14" s="21">
        <f>1/(1+Assumptions!$B$26)^(6-0.5*Assumptions!$B$32)</f>
        <v>0.6943716975306867</v>
      </c>
      <c r="H14" s="21">
        <f>1/(1+Assumptions!$B$26)^(7-0.5*Assumptions!$B$32)</f>
        <v>0.6498162359293558</v>
      </c>
      <c r="I14" s="21">
        <f>1/(1+Assumptions!$B$26)^(8-0.5*Assumptions!$B$32)</f>
        <v>0.6081197462094644</v>
      </c>
      <c r="J14" s="21">
        <f>1/(1+Assumptions!$B$26)^(9-0.5*Assumptions!$B$32)</f>
        <v>0.5690987779044459</v>
      </c>
      <c r="K14" s="21">
        <f>1/(1+Assumptions!$B$26)^(10-0.5*Assumptions!$B$32)</f>
        <v>0.5325816519379669</v>
      </c>
    </row>
    <row r="15" spans="1:11" x14ac:dyDescent="0.25">
      <c r="A15" s="19" t="s">
        <v>58</v>
      </c>
      <c r="B15" s="20">
        <f>B13*B14</f>
        <v>6607251036.701319</v>
      </c>
      <c r="C15" s="20">
        <f>C13*C14</f>
        <v>6488279900.847467</v>
      </c>
      <c r="D15" s="20">
        <f>D13*D14</f>
        <v>6150723475.38229</v>
      </c>
      <c r="E15" s="20">
        <f>E13*E14</f>
        <v>5777475305.285554</v>
      </c>
      <c r="F15" s="20">
        <f>F13*F14</f>
        <v>5375128501.895654</v>
      </c>
      <c r="G15" s="20">
        <f>G13*G14</f>
        <v>4950750642.345744</v>
      </c>
      <c r="H15" s="20">
        <f>H13*H14</f>
        <v>4511675344.623156</v>
      </c>
      <c r="I15" s="20">
        <f>I13*I14</f>
        <v>4065288211.002293</v>
      </c>
      <c r="J15" s="20">
        <f>J13*J14</f>
        <v>3618815983.572834</v>
      </c>
      <c r="K15" s="20">
        <f>K13*K14</f>
        <v>3179127485.4088717</v>
      </c>
    </row>
    <row r="17" spans="1:2" x14ac:dyDescent="0.25">
      <c r="A17" s="22" t="s">
        <v>59</v>
      </c>
      <c r="B17" s="23">
        <f>SUM(B15:K15)</f>
        <v>50724515887.065186</v>
      </c>
    </row>
    <row r="19" spans="1:11" x14ac:dyDescent="0.25">
      <c r="A19" t="s">
        <v>7</v>
      </c>
      <c r="B19" s="9">
        <f>Assumptions!$B$10+($B$20-Assumptions!$B$10)*0/9</f>
        <v>0.0406479405819445</v>
      </c>
      <c r="C19" s="9">
        <f>Assumptions!$B$10+($B$20-Assumptions!$B$10)*1/9</f>
        <v>0.045124062104610105</v>
      </c>
      <c r="D19" s="9">
        <f>Assumptions!$B$10+($B$20-Assumptions!$B$10)*2/9</f>
        <v>0.04960018362727571</v>
      </c>
      <c r="E19" s="9">
        <f>Assumptions!$B$10+($B$20-Assumptions!$B$10)*3/9</f>
        <v>0.054076305149941314</v>
      </c>
      <c r="F19" s="9">
        <f>Assumptions!$B$10+($B$20-Assumptions!$B$10)*4/9</f>
        <v>0.05855242667260692</v>
      </c>
      <c r="G19" s="9">
        <f>Assumptions!$B$10+($B$20-Assumptions!$B$10)*5/9</f>
        <v>0.06302854819527252</v>
      </c>
      <c r="H19" s="9">
        <f>Assumptions!$B$10+($B$20-Assumptions!$B$10)*6/9</f>
        <v>0.06750466971793813</v>
      </c>
      <c r="I19" s="9">
        <f>Assumptions!$B$10+($B$20-Assumptions!$B$10)*7/9</f>
        <v>0.07198079124060373</v>
      </c>
      <c r="J19" s="9">
        <f>Assumptions!$B$10+($B$20-Assumptions!$B$10)*8/9</f>
        <v>0.07645691276326934</v>
      </c>
      <c r="K19" s="9">
        <f>Assumptions!$B$10+($B$20-Assumptions!$B$10)*9/9</f>
        <v>0.08093303428593494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0.08093303428593494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5969277149.974299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10224421020.972422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0.3646108762959974</v>
      </c>
    </row>
    <row r="7" spans="1:2" x14ac:dyDescent="0.25">
      <c r="A7" t="s">
        <v>66</v>
      </c>
      <c r="B7" s="18">
        <f>-MAX(B5,0)*B6</f>
        <v>-3727935108.075971</v>
      </c>
    </row>
    <row r="8" spans="1:2" x14ac:dyDescent="0.25">
      <c r="A8" t="s">
        <v>67</v>
      </c>
      <c r="B8" s="18">
        <f>IF(OR(Assumptions!$B$33=0,Assumptions!B12&lt;=0),B5,MAX(B5+B7,0))</f>
        <v>6496485912.89645</v>
      </c>
    </row>
    <row r="9" spans="1:2" x14ac:dyDescent="0.25">
      <c r="A9" t="s">
        <v>68</v>
      </c>
      <c r="B9" s="18">
        <f>B8*(1+Assumptions!B12)/(Assumptions!B26-Assumptions!B12)</f>
        <v>152845339431.11478</v>
      </c>
    </row>
    <row r="10" spans="1:2" x14ac:dyDescent="0.25">
      <c r="A10" t="s">
        <v>69</v>
      </c>
      <c r="B10" s="18">
        <f>B9/(1+Assumptions!B26)^(10-0.5*Assumptions!B32)</f>
        <v>81402623365.24239</v>
      </c>
    </row>
    <row r="11" spans="1:2" x14ac:dyDescent="0.25">
      <c r="A11" t="s">
        <v>70</v>
      </c>
      <c r="B11" s="18">
        <f>Forecast!B17+B10</f>
        <v>132127139252.30757</v>
      </c>
    </row>
    <row r="12" spans="1:2" x14ac:dyDescent="0.25">
      <c r="A12" t="s">
        <v>71</v>
      </c>
      <c r="B12" s="18">
        <f>-Assumptions!B30</f>
        <v>-32071000000</v>
      </c>
    </row>
    <row r="13" spans="1:2" x14ac:dyDescent="0.25">
      <c r="A13" t="s">
        <v>72</v>
      </c>
      <c r="B13" s="18">
        <f>B11+B12</f>
        <v>100056139252.30757</v>
      </c>
    </row>
    <row r="14" spans="1:2" x14ac:dyDescent="0.25">
      <c r="A14" s="19" t="s">
        <v>73</v>
      </c>
      <c r="B14" s="24">
        <f>B13/Assumptions!B31</f>
        <v>73.76595344463843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20766160733.900894</v>
      </c>
    </row>
    <row r="18" spans="1:2" x14ac:dyDescent="0.25">
      <c r="A18" t="s">
        <v>68</v>
      </c>
      <c r="B18" s="18">
        <f>B17*Assumptions!B13</f>
        <v>415323214678.0179</v>
      </c>
    </row>
    <row r="19" spans="1:2" x14ac:dyDescent="0.25">
      <c r="A19" t="s">
        <v>69</v>
      </c>
      <c r="B19" s="18">
        <f>B18/(1+Assumptions!B26)^(10-0.5*Assumptions!B32)</f>
        <v>221193523761.40564</v>
      </c>
    </row>
    <row r="20" spans="1:2" x14ac:dyDescent="0.25">
      <c r="A20" t="s">
        <v>70</v>
      </c>
      <c r="B20" s="18">
        <f>Forecast!B17+B19</f>
        <v>271918039648.47083</v>
      </c>
    </row>
    <row r="21" spans="1:2" x14ac:dyDescent="0.25">
      <c r="A21" t="s">
        <v>71</v>
      </c>
      <c r="B21" s="18">
        <f>-Assumptions!B30</f>
        <v>-32071000000</v>
      </c>
    </row>
    <row r="22" spans="1:2" x14ac:dyDescent="0.25">
      <c r="A22" t="s">
        <v>72</v>
      </c>
      <c r="B22" s="18">
        <f>B20+B21</f>
        <v>239847039648.47083</v>
      </c>
    </row>
    <row r="23" spans="1:2" x14ac:dyDescent="0.25">
      <c r="A23" s="19" t="s">
        <v>73</v>
      </c>
      <c r="B23" s="25">
        <f>B22/Assumptions!B31</f>
        <v>176.82618670633354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199.8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73.76595344463843</v>
      </c>
    </row>
    <row r="29" spans="1:2" x14ac:dyDescent="0.25">
      <c r="A29" s="19" t="s">
        <v>81</v>
      </c>
      <c r="B29" s="11">
        <f>B28/B26-1</f>
        <v>-0.6308010338106185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0.048566</v>
      </c>
      <c r="B5" s="31">
        <v>119.46758430724243</v>
      </c>
      <c r="C5" s="31">
        <v>117.77328625689678</v>
      </c>
      <c r="D5" s="31">
        <v>116.2218625372563</v>
      </c>
      <c r="E5" s="31">
        <v>114.92874538792985</v>
      </c>
      <c r="F5" s="31">
        <v>114.17954578891951</v>
      </c>
    </row>
    <row r="6" spans="1:6" x14ac:dyDescent="0.25">
      <c r="A6" s="30">
        <v>0.058566</v>
      </c>
      <c r="B6" s="31">
        <v>93.92610246799075</v>
      </c>
      <c r="C6" s="31">
        <v>92.31665393375118</v>
      </c>
      <c r="D6" s="31">
        <v>90.70720539951164</v>
      </c>
      <c r="E6" s="31">
        <v>89.09775686527213</v>
      </c>
      <c r="F6" s="31">
        <v>87.48830833103257</v>
      </c>
    </row>
    <row r="7" spans="1:6" x14ac:dyDescent="0.25">
      <c r="A7" s="30">
        <v>0.068566</v>
      </c>
      <c r="B7" s="31">
        <v>76.36234620033555</v>
      </c>
      <c r="C7" s="31">
        <v>75.06432948476917</v>
      </c>
      <c r="D7" s="32">
        <v>73.7663127692028</v>
      </c>
      <c r="E7" s="31">
        <v>72.4682960536364</v>
      </c>
      <c r="F7" s="31">
        <v>71.17027933807002</v>
      </c>
    </row>
    <row r="8" spans="1:6" x14ac:dyDescent="0.25">
      <c r="A8" s="30">
        <v>0.078566</v>
      </c>
      <c r="B8" s="31">
        <v>63.310107631795596</v>
      </c>
      <c r="C8" s="31">
        <v>62.239570331110976</v>
      </c>
      <c r="D8" s="31">
        <v>61.169033030426334</v>
      </c>
      <c r="E8" s="31">
        <v>60.098495729741686</v>
      </c>
      <c r="F8" s="31">
        <v>59.027958429057044</v>
      </c>
    </row>
    <row r="9" spans="1:6" x14ac:dyDescent="0.25">
      <c r="A9" s="30">
        <v>0.088566</v>
      </c>
      <c r="B9" s="31">
        <v>53.23816850934477</v>
      </c>
      <c r="C9" s="31">
        <v>52.33993207512838</v>
      </c>
      <c r="D9" s="31">
        <v>51.44169564091199</v>
      </c>
      <c r="E9" s="31">
        <v>50.54345920669562</v>
      </c>
      <c r="F9" s="31">
        <v>49.64522277247922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88603000000</v>
      </c>
      <c r="C5" s="18">
        <v>80738000000</v>
      </c>
      <c r="D5" s="18">
        <v>68920000000</v>
      </c>
      <c r="E5" s="18">
        <v>67074000000</v>
      </c>
      <c r="F5" s="6" t="s">
        <v>91</v>
      </c>
    </row>
    <row r="6" spans="1:6" x14ac:dyDescent="0.25">
      <c r="A6" t="s">
        <v>51</v>
      </c>
      <c r="B6" s="18">
        <v>9300000000</v>
      </c>
      <c r="C6" s="18">
        <v>6538000000</v>
      </c>
      <c r="D6" s="18">
        <v>3561000000</v>
      </c>
      <c r="E6" s="18">
        <v>5504000000</v>
      </c>
      <c r="F6" s="6" t="s">
        <v>92</v>
      </c>
    </row>
    <row r="7" spans="1:6" x14ac:dyDescent="0.25">
      <c r="A7" t="s">
        <v>93</v>
      </c>
      <c r="B7" s="18">
        <v>4378000000</v>
      </c>
      <c r="C7" s="18">
        <v>4364000000</v>
      </c>
      <c r="D7" s="18">
        <v>4211000000</v>
      </c>
      <c r="E7" s="18">
        <v>4108000000</v>
      </c>
      <c r="F7" s="6" t="s">
        <v>94</v>
      </c>
    </row>
    <row r="8" spans="1:6" x14ac:dyDescent="0.25">
      <c r="A8" t="s">
        <v>95</v>
      </c>
      <c r="B8" s="18">
        <v>3119000000</v>
      </c>
      <c r="C8" s="18">
        <v>3236000000</v>
      </c>
      <c r="D8" s="18">
        <v>3166000000</v>
      </c>
      <c r="E8" s="18">
        <v>2775000000</v>
      </c>
      <c r="F8" s="6" t="s">
        <v>96</v>
      </c>
    </row>
    <row r="9" spans="1:6" x14ac:dyDescent="0.25">
      <c r="A9" t="s">
        <v>97</v>
      </c>
      <c r="B9" s="18">
        <v>1274000000</v>
      </c>
      <c r="C9" s="18">
        <v>1085000000</v>
      </c>
      <c r="D9" s="18">
        <v>-1515000000</v>
      </c>
      <c r="E9" s="18">
        <v>-522000000</v>
      </c>
      <c r="F9" s="6" t="s">
        <v>98</v>
      </c>
    </row>
    <row r="10" spans="1:6" x14ac:dyDescent="0.25">
      <c r="A10" t="s">
        <v>99</v>
      </c>
      <c r="B10" s="18">
        <v>39506000000</v>
      </c>
      <c r="C10" s="18">
        <v>42893000000</v>
      </c>
      <c r="D10" s="18">
        <v>45239000000</v>
      </c>
      <c r="E10" s="18">
        <v>33500000000</v>
      </c>
      <c r="F10" s="6" t="s">
        <v>100</v>
      </c>
    </row>
    <row r="11" spans="1:6" x14ac:dyDescent="0.25">
      <c r="A11" t="s">
        <v>101</v>
      </c>
      <c r="B11" s="18">
        <v>7435000000</v>
      </c>
      <c r="C11" s="18">
        <v>5578000000</v>
      </c>
      <c r="D11" s="18">
        <v>6587000000</v>
      </c>
      <c r="E11" s="18">
        <v>6220000000</v>
      </c>
      <c r="F11" s="6" t="s">
        <v>102</v>
      </c>
    </row>
    <row r="12" spans="1:6" x14ac:dyDescent="0.25">
      <c r="A12" t="s">
        <v>34</v>
      </c>
      <c r="B12" s="34">
        <v>1356400000</v>
      </c>
      <c r="C12" s="34">
        <v>1343600000</v>
      </c>
      <c r="D12" s="34">
        <v>1435400000</v>
      </c>
      <c r="E12" s="34">
        <v>1485900000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