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<sst xmlns="http://schemas.openxmlformats.org/spreadsheetml/2006/main" count="112" uniqueCount="100">
  <si>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Revvity, Inc. (RVTY)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</si>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</sst>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-0.04815480072764722</v>
      </c>
    </row>
    <row r="7" spans="1:2" x14ac:dyDescent="0.25">
      <c r="A7" t="s">
        <v>5</v>
      </c>
      <c r="B7" s="6">
        <v>0.14606427170997188</v>
      </c>
    </row>
    <row r="8" spans="1:2" x14ac:dyDescent="0.25">
      <c r="A8" t="s">
        <v>6</v>
      </c>
      <c r="B8" s="6">
        <v>0.10520055309724637</v>
      </c>
    </row>
    <row r="9" spans="1:2" x14ac:dyDescent="0.25">
      <c r="A9" t="s">
        <v>7</v>
      </c>
      <c r="B9" s="6">
        <v>0.145781807131696</v>
      </c>
    </row>
    <row r="10" spans="1:2" x14ac:dyDescent="0.25">
      <c r="A10" t="s">
        <v>8</v>
      </c>
      <c r="B10" s="6">
        <v>0.02815802593846634</v>
      </c>
    </row>
    <row r="11" spans="1:2" x14ac:dyDescent="0.25">
      <c r="A11" t="s">
        <v>9</v>
      </c>
      <c r="B11" s="6">
        <v>0.9579905963870329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0.0971330970373476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1.0596299999999998</v>
      </c>
      <c r="C19" s="8" t="s">
        <v>19</v>
      </c>
    </row>
    <row r="20" spans="1:2" x14ac:dyDescent="0.25">
      <c r="A20" t="s">
        <v>20</v>
      </c>
      <c r="B20" s="10">
        <f>B17+B19*B18</f>
        <v>0.10825965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16007068672</v>
      </c>
    </row>
    <row r="23" spans="1:2" x14ac:dyDescent="0.25">
      <c r="A23" t="s">
        <v>24</v>
      </c>
      <c r="B23" s="11">
        <v>3398207000</v>
      </c>
    </row>
    <row r="24" spans="1:2" x14ac:dyDescent="0.25">
      <c r="A24" t="s">
        <v>25</v>
      </c>
      <c r="B24" s="10">
        <f>B22/(B22+B23)</f>
        <v>0.8248823125505351</v>
      </c>
    </row>
    <row r="25" spans="1:2" x14ac:dyDescent="0.25">
      <c r="A25" t="s">
        <v>26</v>
      </c>
      <c r="B25" s="10">
        <f>1-B24</f>
        <v>0.17511768744946488</v>
      </c>
    </row>
    <row r="26" spans="1:2" x14ac:dyDescent="0.25">
      <c r="A26" t="s">
        <v>27</v>
      </c>
      <c r="B26" s="12">
        <f>B24*B20+B25*B21*(1-B8)</f>
        <v>0.0971330970373476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2856051000</v>
      </c>
      <c r="C29" s="8" t="s">
        <v>30</v>
      </c>
    </row>
    <row r="30" spans="1:2" x14ac:dyDescent="0.25">
      <c r="A30" t="s">
        <v>31</v>
      </c>
      <c r="B30" s="11">
        <v>2478347000</v>
      </c>
    </row>
    <row r="31" spans="1:2" x14ac:dyDescent="0.25">
      <c r="A31" t="s">
        <v>32</v>
      </c>
      <c r="B31" s="13">
        <v>116595000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-0.04815480072764722</v>
      </c>
      <c r="C5" s="10">
        <f>Assumptions!B6</f>
        <v>-0.04815480072764722</v>
      </c>
      <c r="D5" s="10">
        <f>Assumptions!B6</f>
        <v>-0.04815480072764722</v>
      </c>
      <c r="E5" s="10">
        <f>Assumptions!B6</f>
        <v>-0.04815480072764722</v>
      </c>
      <c r="F5" s="10">
        <f>Assumptions!B6</f>
        <v>-0.04815480072764722</v>
      </c>
    </row>
    <row r="6" spans="1:6" x14ac:dyDescent="0.25">
      <c r="A6" t="s">
        <v>43</v>
      </c>
      <c r="B6" s="18">
        <f>Assumptions!B29*(1+B5)</f>
        <v>2718518433.2270026</v>
      </c>
      <c r="C6" s="18">
        <f>B6*(1+C5)</f>
        <v>2587608719.8005204</v>
      </c>
      <c r="D6" s="18">
        <f>C6*(1+D5)</f>
        <v>2463002937.537404</v>
      </c>
      <c r="E6" s="18">
        <f>D6*(1+E5)</f>
        <v>2344397521.8886805</v>
      </c>
      <c r="F6" s="18">
        <f>E6*(1+F5)</f>
        <v>2231503526.395741</v>
      </c>
    </row>
    <row r="7" spans="1:6" x14ac:dyDescent="0.25">
      <c r="A7" t="s">
        <v>5</v>
      </c>
      <c r="B7" s="10">
        <f>Assumptions!B7</f>
        <v>0.14606427170997188</v>
      </c>
      <c r="C7" s="10">
        <f>Assumptions!B7</f>
        <v>0.14606427170997188</v>
      </c>
      <c r="D7" s="10">
        <f>Assumptions!B7</f>
        <v>0.14606427170997188</v>
      </c>
      <c r="E7" s="10">
        <f>Assumptions!B7</f>
        <v>0.14606427170997188</v>
      </c>
      <c r="F7" s="10">
        <f>Assumptions!B7</f>
        <v>0.14606427170997188</v>
      </c>
    </row>
    <row r="8" spans="1:6" x14ac:dyDescent="0.25">
      <c r="A8" t="s">
        <v>44</v>
      </c>
      <c r="B8" s="18">
        <f>B6*B7</f>
        <v>397078415.07943594</v>
      </c>
      <c r="C8" s="18">
        <f>C6*C7</f>
        <v>377957183.1280357</v>
      </c>
      <c r="D8" s="18">
        <f>D6*D7</f>
        <v>359756730.2909223</v>
      </c>
      <c r="E8" s="18">
        <f>E6*E7</f>
        <v>342432716.63333297</v>
      </c>
      <c r="F8" s="18">
        <f>F6*F7</f>
        <v>325942937.40122795</v>
      </c>
    </row>
    <row r="9" spans="1:6" x14ac:dyDescent="0.25">
      <c r="A9" t="s">
        <v>45</v>
      </c>
      <c r="B9" s="18">
        <f>B8*(1-Assumptions!B8)</f>
        <v>355305546.19010127</v>
      </c>
      <c r="C9" s="18">
        <f>C8*(1-Assumptions!B8)</f>
        <v>338195878.41588914</v>
      </c>
      <c r="D9" s="18">
        <f>D8*(1-Assumptions!B8)</f>
        <v>321910123.2838604</v>
      </c>
      <c r="E9" s="18">
        <f>E8*(1-Assumptions!B8)</f>
        <v>306408605.4449137</v>
      </c>
      <c r="F9" s="18">
        <f>F8*(1-Assumptions!B8)</f>
        <v>291653560.1084776</v>
      </c>
    </row>
    <row r="10" spans="1:6" x14ac:dyDescent="0.25">
      <c r="A10" t="s">
        <v>46</v>
      </c>
      <c r="B10" s="18">
        <f>B6*Assumptions!B9</f>
        <v>396310529.9166593</v>
      </c>
      <c r="C10" s="18">
        <f>C6*Assumptions!B9</f>
        <v>377226275.32225424</v>
      </c>
      <c r="D10" s="18">
        <f>D6*Assumptions!B9</f>
        <v>359061019.2048785</v>
      </c>
      <c r="E10" s="18">
        <f>E6*Assumptions!B9</f>
        <v>341770507.37600166</v>
      </c>
      <c r="F10" s="18">
        <f>F6*Assumptions!B9</f>
        <v>325312616.69872344</v>
      </c>
    </row>
    <row r="11" spans="1:6" x14ac:dyDescent="0.25">
      <c r="A11" t="s">
        <v>47</v>
      </c>
      <c r="B11" s="18">
        <f>-B6*Assumptions!B10</f>
        <v>-76548112.55700481</v>
      </c>
      <c r="C11" s="18">
        <f>-C6*Assumptions!B10</f>
        <v>-72861953.45074473</v>
      </c>
      <c r="D11" s="18">
        <f>-D6*Assumptions!B10</f>
        <v>-69353300.60169701</v>
      </c>
      <c r="E11" s="18">
        <f>-E6*Assumptions!B10</f>
        <v>-66013606.23141767</v>
      </c>
      <c r="F11" s="18">
        <f>-F6*Assumptions!B10</f>
        <v>-62834734.17803038</v>
      </c>
    </row>
    <row r="12" spans="1:6" x14ac:dyDescent="0.25">
      <c r="A12" t="s">
        <v>48</v>
      </c>
      <c r="B12" s="18">
        <f>-(B6-Assumptions!B29)*Assumptions!B11</f>
        <v>131754905.66550317</v>
      </c>
      <c r="C12" s="18">
        <f>-(C6-B6)*Assumptions!B11</f>
        <v>125410274.43829125</v>
      </c>
      <c r="D12" s="18">
        <f>-(D6-C6)*Assumptions!B11</f>
        <v>119371167.6635156</v>
      </c>
      <c r="E12" s="18">
        <f>-(E6-D6)*Assumptions!B11</f>
        <v>113622872.87205264</v>
      </c>
      <c r="F12" s="18">
        <f>-(F6-E6)*Assumptions!B11</f>
        <v>108151386.07079609</v>
      </c>
    </row>
    <row r="13" spans="1:6" x14ac:dyDescent="0.25">
      <c r="A13" s="19" t="s">
        <v>49</v>
      </c>
      <c r="B13" s="20">
        <f>B9+B10+B11+B12</f>
        <v>806822869.2152588</v>
      </c>
      <c r="C13" s="20">
        <f>C9+C10+C11+C12</f>
        <v>767970474.7256899</v>
      </c>
      <c r="D13" s="20">
        <f>D9+D10+D11+D12</f>
        <v>730989009.5505575</v>
      </c>
      <c r="E13" s="20">
        <f>E9+E10+E11+E12</f>
        <v>695788379.4615504</v>
      </c>
      <c r="F13" s="20">
        <f>F9+F10+F11+F12</f>
        <v>662282828.6999668</v>
      </c>
    </row>
    <row r="14" spans="1:6" x14ac:dyDescent="0.25">
      <c r="A14" t="s">
        <v>50</v>
      </c>
      <c r="B14" s="21">
        <f>1/(1+Assumptions!$B$26)^(1-0.5*Assumptions!$B$32)</f>
        <v>0.9547075162972903</v>
      </c>
      <c r="C14" s="21">
        <f>1/(1+Assumptions!$B$26)^(2-0.5*Assumptions!$B$32)</f>
        <v>0.87018386271943</v>
      </c>
      <c r="D14" s="21">
        <f>1/(1+Assumptions!$B$26)^(3-0.5*Assumptions!$B$32)</f>
        <v>0.793143388955486</v>
      </c>
      <c r="E14" s="21">
        <f>1/(1+Assumptions!$B$26)^(4-0.5*Assumptions!$B$32)</f>
        <v>0.7229235824689432</v>
      </c>
      <c r="F14" s="21">
        <f>1/(1+Assumptions!$B$26)^(5-0.5*Assumptions!$B$32)</f>
        <v>0.6589205853155791</v>
      </c>
    </row>
    <row r="15" spans="1:6" x14ac:dyDescent="0.25">
      <c r="A15" s="19" t="s">
        <v>51</v>
      </c>
      <c r="B15" s="20">
        <f>B13*B14</f>
        <v>770279857.5603533</v>
      </c>
      <c r="C15" s="20">
        <f>C13*C14</f>
        <v>668275514.1512753</v>
      </c>
      <c r="D15" s="20">
        <f>D13*D14</f>
        <v>579779100.3241433</v>
      </c>
      <c r="E15" s="20">
        <f>E13*E14</f>
        <v>503001827.9206044</v>
      </c>
      <c r="F15" s="20">
        <f>F13*F14</f>
        <v>436391789.1314395</v>
      </c>
    </row>
    <row r="17" spans="1:2" x14ac:dyDescent="0.25">
      <c r="A17" s="22" t="s">
        <v>52</v>
      </c>
      <c r="B17" s="23">
        <f>SUM(B15:F15)</f>
        <v>2957728089.0878158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662282828.6999668</v>
      </c>
    </row>
    <row r="5" spans="1:2" x14ac:dyDescent="0.25">
      <c r="A5" t="s">
        <v>56</v>
      </c>
      <c r="B5" s="18">
        <f>IF(Assumptions!$B$33=0,B4,B4-Forecast!F11-Forecast!F10-Forecast!F12)</f>
        <v>538719432.44954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0.2573788004554979</v>
      </c>
    </row>
    <row r="7" spans="1:2" x14ac:dyDescent="0.25">
      <c r="A7" t="s">
        <v>58</v>
      </c>
      <c r="B7" s="18">
        <f>-MAX(Forecast!F9,0)*B6</f>
        <v>-138654961.30592924</v>
      </c>
    </row>
    <row r="8" spans="1:2" x14ac:dyDescent="0.25">
      <c r="A8" t="s">
        <v>59</v>
      </c>
      <c r="B8" s="18">
        <f>IF(OR(Assumptions!$B$33=0,Assumptions!B12&lt;=0),B5,MAX(B5+B7,0))</f>
        <v>400064471.1436108</v>
      </c>
    </row>
    <row r="9" spans="1:2" x14ac:dyDescent="0.25">
      <c r="A9" t="s">
        <v>60</v>
      </c>
      <c r="B9" s="18">
        <f>B8*(1+Assumptions!B12)/(Assumptions!B26-Assumptions!B12)</f>
        <v>5684853413.5430975</v>
      </c>
    </row>
    <row r="10" spans="1:2" x14ac:dyDescent="0.25">
      <c r="A10" t="s">
        <v>61</v>
      </c>
      <c r="B10" s="18">
        <f>B9/(1+Assumptions!B26)^(5-0.5*Assumptions!B32)</f>
        <v>3745866938.6850853</v>
      </c>
    </row>
    <row r="11" spans="1:2" x14ac:dyDescent="0.25">
      <c r="A11" t="s">
        <v>62</v>
      </c>
      <c r="B11" s="18">
        <f>Forecast!B17+B10</f>
        <v>6703595027.772902</v>
      </c>
    </row>
    <row r="12" spans="1:2" x14ac:dyDescent="0.25">
      <c r="A12" t="s">
        <v>63</v>
      </c>
      <c r="B12" s="18">
        <f>-Assumptions!B30</f>
        <v>-2478347000</v>
      </c>
    </row>
    <row r="13" spans="1:2" x14ac:dyDescent="0.25">
      <c r="A13" t="s">
        <v>64</v>
      </c>
      <c r="B13" s="18">
        <f>B11+B12</f>
        <v>4225248027.7729015</v>
      </c>
    </row>
    <row r="14" spans="1:2" x14ac:dyDescent="0.25">
      <c r="A14" s="19" t="s">
        <v>65</v>
      </c>
      <c r="B14" s="24">
        <f>B13/Assumptions!B31</f>
        <v>36.238672565486524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651255554.0999514</v>
      </c>
    </row>
    <row r="18" spans="1:2" x14ac:dyDescent="0.25">
      <c r="A18" t="s">
        <v>60</v>
      </c>
      <c r="B18" s="18">
        <f>B17*Assumptions!B13</f>
        <v>13025111081.999027</v>
      </c>
    </row>
    <row r="19" spans="1:2" x14ac:dyDescent="0.25">
      <c r="A19" t="s">
        <v>61</v>
      </c>
      <c r="B19" s="18">
        <f>B18/(1+Assumptions!B26)^(5-0.5*Assumptions!B32)</f>
        <v>8582513817.951235</v>
      </c>
    </row>
    <row r="20" spans="1:2" x14ac:dyDescent="0.25">
      <c r="A20" t="s">
        <v>62</v>
      </c>
      <c r="B20" s="18">
        <f>Forecast!B17+B19</f>
        <v>11540241907.039051</v>
      </c>
    </row>
    <row r="21" spans="1:2" x14ac:dyDescent="0.25">
      <c r="A21" t="s">
        <v>63</v>
      </c>
      <c r="B21" s="18">
        <f>-Assumptions!B30</f>
        <v>-2478347000</v>
      </c>
    </row>
    <row r="22" spans="1:2" x14ac:dyDescent="0.25">
      <c r="A22" t="s">
        <v>64</v>
      </c>
      <c r="B22" s="18">
        <f>B20+B21</f>
        <v>9061894907.039051</v>
      </c>
    </row>
    <row r="23" spans="1:2" x14ac:dyDescent="0.25">
      <c r="A23" s="19" t="s">
        <v>65</v>
      </c>
      <c r="B23" s="25">
        <f>B22/Assumptions!B31</f>
        <v>77.72112789604229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143.45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36.238672565486524</v>
      </c>
    </row>
    <row r="29" spans="1:2" x14ac:dyDescent="0.25">
      <c r="A29" s="19" t="s">
        <v>73</v>
      </c>
      <c r="B29" s="12">
        <f>B28/B26-1</f>
        <v>-0.7473776746916241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0.077133</v>
      </c>
      <c r="B5" s="31">
        <v>48.69773300819985</v>
      </c>
      <c r="C5" s="31">
        <v>48.91212102366557</v>
      </c>
      <c r="D5" s="31">
        <v>49.126509039131285</v>
      </c>
      <c r="E5" s="31">
        <v>49.340897054597</v>
      </c>
      <c r="F5" s="31">
        <v>49.55528507006271</v>
      </c>
    </row>
    <row r="6" spans="1:6" x14ac:dyDescent="0.25">
      <c r="A6" s="30">
        <v>0.087133</v>
      </c>
      <c r="B6" s="31">
        <v>41.59094044785201</v>
      </c>
      <c r="C6" s="31">
        <v>41.77299351350148</v>
      </c>
      <c r="D6" s="31">
        <v>41.95504657915092</v>
      </c>
      <c r="E6" s="31">
        <v>42.137099644800365</v>
      </c>
      <c r="F6" s="31">
        <v>42.31915271044982</v>
      </c>
    </row>
    <row r="7" spans="1:6" x14ac:dyDescent="0.25">
      <c r="A7" s="30">
        <v>0.097133</v>
      </c>
      <c r="B7" s="31">
        <v>35.92528621982557</v>
      </c>
      <c r="C7" s="31">
        <v>36.08200432248242</v>
      </c>
      <c r="D7" s="32">
        <v>36.23872242513925</v>
      </c>
      <c r="E7" s="31">
        <v>36.3954405277961</v>
      </c>
      <c r="F7" s="31">
        <v>36.55215863045294</v>
      </c>
    </row>
    <row r="8" spans="1:6" x14ac:dyDescent="0.25">
      <c r="A8" s="30">
        <v>0.107133</v>
      </c>
      <c r="B8" s="31">
        <v>31.298232250600506</v>
      </c>
      <c r="C8" s="31">
        <v>31.43463727616138</v>
      </c>
      <c r="D8" s="31">
        <v>31.571042301722233</v>
      </c>
      <c r="E8" s="31">
        <v>31.707447327283113</v>
      </c>
      <c r="F8" s="31">
        <v>31.843852352843978</v>
      </c>
    </row>
    <row r="9" spans="1:6" x14ac:dyDescent="0.25">
      <c r="A9" s="30">
        <v>0.117133</v>
      </c>
      <c r="B9" s="31">
        <v>27.444646167842</v>
      </c>
      <c r="C9" s="31">
        <v>27.564458490655454</v>
      </c>
      <c r="D9" s="31">
        <v>27.684270813468903</v>
      </c>
      <c r="E9" s="31">
        <v>27.804083136282355</v>
      </c>
      <c r="F9" s="31">
        <v>27.92389545909581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2856051000</v>
      </c>
      <c r="C5" s="18">
        <v>2755026000</v>
      </c>
      <c r="D5" s="18">
        <v>2750571000</v>
      </c>
      <c r="E5" s="18">
        <v>3311822000</v>
      </c>
      <c r="F5" s="8" t="s">
        <v>84</v>
      </c>
    </row>
    <row r="6" spans="1:6" x14ac:dyDescent="0.25">
      <c r="A6" t="s">
        <v>44</v>
      </c>
      <c r="B6" s="18">
        <v>356635000</v>
      </c>
      <c r="C6" s="18">
        <v>346741000</v>
      </c>
      <c r="D6" s="18">
        <v>300562000</v>
      </c>
      <c r="E6" s="18">
        <v>742699000</v>
      </c>
      <c r="F6" s="8" t="s">
        <v>85</v>
      </c>
    </row>
    <row r="7" spans="1:6" x14ac:dyDescent="0.25">
      <c r="A7" t="s">
        <v>86</v>
      </c>
      <c r="B7" s="18">
        <v>405340000</v>
      </c>
      <c r="C7" s="18">
        <v>427849000</v>
      </c>
      <c r="D7" s="18">
        <v>431769000</v>
      </c>
      <c r="E7" s="18">
        <v>427000000</v>
      </c>
      <c r="F7" s="8" t="s">
        <v>87</v>
      </c>
    </row>
    <row r="8" spans="1:6" x14ac:dyDescent="0.25">
      <c r="A8" t="s">
        <v>88</v>
      </c>
      <c r="B8" s="18">
        <v>73522000</v>
      </c>
      <c r="C8" s="18">
        <v>86648000</v>
      </c>
      <c r="D8" s="18">
        <v>81368000</v>
      </c>
      <c r="E8" s="18">
        <v>85632000</v>
      </c>
      <c r="F8" s="8" t="s">
        <v>89</v>
      </c>
    </row>
    <row r="9" spans="1:6" x14ac:dyDescent="0.25">
      <c r="A9" t="s">
        <v>90</v>
      </c>
      <c r="B9" s="18">
        <v>96781000</v>
      </c>
      <c r="C9" s="18">
        <v>18305000</v>
      </c>
      <c r="D9" s="18">
        <v>391346000</v>
      </c>
      <c r="E9" s="18">
        <v>262968000</v>
      </c>
      <c r="F9" s="8" t="s">
        <v>91</v>
      </c>
    </row>
    <row r="10" spans="1:6" x14ac:dyDescent="0.25">
      <c r="A10" t="s">
        <v>92</v>
      </c>
      <c r="B10" s="18">
        <v>3398207000</v>
      </c>
      <c r="C10" s="18">
        <v>3325805000</v>
      </c>
      <c r="D10" s="18">
        <v>4065295000</v>
      </c>
      <c r="E10" s="18">
        <v>4595461000</v>
      </c>
      <c r="F10" s="8" t="s">
        <v>93</v>
      </c>
    </row>
    <row r="11" spans="1:6" x14ac:dyDescent="0.25">
      <c r="A11" t="s">
        <v>94</v>
      </c>
      <c r="B11" s="18">
        <v>919860000</v>
      </c>
      <c r="C11" s="18">
        <v>1163396000</v>
      </c>
      <c r="D11" s="18">
        <v>1603079000</v>
      </c>
      <c r="E11" s="18">
        <v>454358000</v>
      </c>
      <c r="F11" s="8" t="s">
        <v>95</v>
      </c>
    </row>
    <row r="12" spans="1:6" x14ac:dyDescent="0.25">
      <c r="A12" t="s">
        <v>32</v>
      </c>
      <c r="B12" s="34">
        <v>116595000</v>
      </c>
      <c r="C12" s="34">
        <v>122822000</v>
      </c>
      <c r="D12" s="34">
        <v>124812000</v>
      </c>
      <c r="E12" s="34">
        <v>126426000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