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<sst xmlns="http://schemas.openxmlformats.org/spreadsheetml/2006/main" count="120" uniqueCount="107">
  <si>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Revvity, Inc. (RVTY)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</si>
  <si>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</si>
  <si>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</si>
  <si>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</si>
  <si>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</si>
  <si>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</si>
  <si>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</si>
  <si>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</si>
  <si>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</si>
  <si>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</si>
  <si>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</si>
  <si>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</si>
  <si>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</si>
  <si>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</si>
  <si>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</si>
  <si>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</si>
  <si>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</si>
  <si>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</si>
  <si>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</si>
  <si>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</si>
  <si>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</si>
  <si>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</si>
  <si>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</si>
  <si>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</si>
  <si>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3.9x interest cover. Book interest / average debt was lower, at 2.7%.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</si>
  <si>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</si>
  <si>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</si>
  <si>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</si>
  <si>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</si>
  <si>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</si>
  <si>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</si>
  <si>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</si>
  <si>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</si>
  <si>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</si>
  <si>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</si>
  <si>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</si>
  <si>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</si>
  <si>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</si>
  <si>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</si>
  <si>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</si>
  <si>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</si>
  <si>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</si>
  <si>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</si>
  <si>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</si>
  <si>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</si>
  <si>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</si>
  <si>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</si>
  <si>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</si>
  <si>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</si>
  <si>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</si>
  <si>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</si>
  <si>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</si>
  <si>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</si>
  <si>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</si>
  <si>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</si>
  <si>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</si>
  <si>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</si>
  <si>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</si>
  <si>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</si>
  <si>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</si>
  <si>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</si>
  <si>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</si>
  <si>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</si>
  <si>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</si>
  <si>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</si>
  <si>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</si>
  <si>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</si>
  <si>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</si>
  <si>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</si>
  <si>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</si>
  <si>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</si>
  <si>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</si>
  <si>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</si>
  <si>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</si>
  <si>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</si>
  <si>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</si>
  <si>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</si>
  <si>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</si>
  <si>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</si>
  <si>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</si>
  <si>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</si>
  <si>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</si>
  <si>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</si>
  <si>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</si>
  <si>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</si>
  <si>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</si>
  <si>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</si>
  <si>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</si>
  <si>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</si>
  <si>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</si>
  <si>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</si>
  <si>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</si>
  <si>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</si>
  <si>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</si>
  <si>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</si>
  <si>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</si>
  <si>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</si>
  <si>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</si>
  <si>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</si>
  <si>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</si>
  <si>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</si>
  <si>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</si>
  <si>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</si>
  <si>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</si>
  <si>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</si>
  <si>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26.2x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</si>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</sst>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-0.0012592947394847176</v>
      </c>
    </row>
    <row r="7" spans="1:2" x14ac:dyDescent="0.25">
      <c r="A7" t="s">
        <v>4</v>
      </c>
      <c r="B7" s="5">
        <v>0.14606427170997188</v>
      </c>
    </row>
    <row r="8" spans="1:2" x14ac:dyDescent="0.25">
      <c r="A8" t="s">
        <v>5</v>
      </c>
      <c r="B8" s="5">
        <v>0.10520055309724637</v>
      </c>
    </row>
    <row r="9" spans="1:2" x14ac:dyDescent="0.25">
      <c r="A9" t="s">
        <v>6</v>
      </c>
      <c r="B9" s="5">
        <v>0.145781807131696</v>
      </c>
    </row>
    <row r="10" spans="1:3" x14ac:dyDescent="0.25">
      <c r="A10" t="s">
        <v>7</v>
      </c>
      <c r="B10" s="5">
        <v>0.02815802593846634</v>
      </c>
      <c r="C10" s="6" t="s">
        <v>8</v>
      </c>
    </row>
    <row r="11" spans="1:2" x14ac:dyDescent="0.25">
      <c r="A11" t="s">
        <v>9</v>
      </c>
      <c r="B11" s="5">
        <v>0.3068326124895693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0.08634447525955942</v>
      </c>
      <c r="C14" s="6" t="s">
        <v>13</v>
      </c>
    </row>
    <row r="15" spans="1:3" x14ac:dyDescent="0.25">
      <c r="A15" t="s">
        <v>14</v>
      </c>
      <c r="B15" s="5">
        <v>0.02204768677854899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1.04288</v>
      </c>
      <c r="C19" s="6" t="s">
        <v>21</v>
      </c>
    </row>
    <row r="20" spans="1:2" x14ac:dyDescent="0.25">
      <c r="A20" t="s">
        <v>22</v>
      </c>
      <c r="B20" s="9">
        <f>B17+B19*B18</f>
        <v>0.09305382400000001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17519065088</v>
      </c>
    </row>
    <row r="23" spans="1:2" x14ac:dyDescent="0.25">
      <c r="A23" t="s">
        <v>26</v>
      </c>
      <c r="B23" s="10">
        <v>3398207000</v>
      </c>
    </row>
    <row r="24" spans="1:2" x14ac:dyDescent="0.25">
      <c r="A24" t="s">
        <v>27</v>
      </c>
      <c r="B24" s="9">
        <f>B22/(B22+B23)</f>
        <v>0.8375406226154359</v>
      </c>
    </row>
    <row r="25" spans="1:2" x14ac:dyDescent="0.25">
      <c r="A25" t="s">
        <v>28</v>
      </c>
      <c r="B25" s="9">
        <f>1-B24</f>
        <v>0.16245937738456406</v>
      </c>
    </row>
    <row r="26" spans="1:2" x14ac:dyDescent="0.25">
      <c r="A26" t="s">
        <v>29</v>
      </c>
      <c r="B26" s="11">
        <f>B24*B20+B25*B21*(1-B8)</f>
        <v>0.08634447525955942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2856051000</v>
      </c>
      <c r="C29" s="6" t="s">
        <v>32</v>
      </c>
    </row>
    <row r="30" spans="1:2" x14ac:dyDescent="0.25">
      <c r="A30" t="s">
        <v>33</v>
      </c>
      <c r="B30" s="10">
        <v>2478347000</v>
      </c>
    </row>
    <row r="31" spans="1:2" x14ac:dyDescent="0.25">
      <c r="A31" t="s">
        <v>34</v>
      </c>
      <c r="B31" s="12">
        <v>116595000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-0.0012592947394847176</v>
      </c>
      <c r="C5" s="5">
        <v>0.05441041951243952</v>
      </c>
      <c r="D5" s="5">
        <v>0.050734117073384585</v>
      </c>
      <c r="E5" s="5">
        <v>0.04705781463432964</v>
      </c>
      <c r="F5" s="5">
        <v>0.0433815121952747</v>
      </c>
      <c r="G5" s="5">
        <v>0.03970520975621976</v>
      </c>
      <c r="H5" s="5">
        <v>0.03602890731716482</v>
      </c>
      <c r="I5" s="5">
        <v>0.032352604878109884</v>
      </c>
      <c r="J5" s="5">
        <v>0.028676302439054942</v>
      </c>
      <c r="K5" s="5">
        <v>0.025</v>
      </c>
    </row>
    <row r="6" spans="1:11" x14ac:dyDescent="0.25">
      <c r="A6" t="s">
        <v>50</v>
      </c>
      <c r="B6" s="18">
        <f>Assumptions!B29*(1+B5)</f>
        <v>2852454390</v>
      </c>
      <c r="C6" s="18">
        <f>B6*(1+C5)</f>
        <v>3007657630</v>
      </c>
      <c r="D6" s="18">
        <f>C6*(1+D5)</f>
        <v>3160248484.3170786</v>
      </c>
      <c r="E6" s="18">
        <f>D6*(1+E5)</f>
        <v>3308962871.690493</v>
      </c>
      <c r="F6" s="18">
        <f>E6*(1+F5)</f>
        <v>3452510684.862446</v>
      </c>
      <c r="G6" s="18">
        <f>F6*(1+G5)</f>
        <v>3589593345.790499</v>
      </c>
      <c r="H6" s="18">
        <f>G6*(1+H5)</f>
        <v>3718922471.752297</v>
      </c>
      <c r="I6" s="18">
        <f>H6*(1+I5)</f>
        <v>3839239301.053223</v>
      </c>
      <c r="J6" s="18">
        <f>I6*(1+J5)</f>
        <v>3949334488.386131</v>
      </c>
      <c r="K6" s="18">
        <f>J6*(1+K5)</f>
        <v>4048067850.5957837</v>
      </c>
    </row>
    <row r="7" spans="1:11" x14ac:dyDescent="0.25">
      <c r="A7" t="s">
        <v>4</v>
      </c>
      <c r="B7" s="9">
        <f>Assumptions!B7</f>
        <v>0.14606427170997188</v>
      </c>
      <c r="C7" s="9">
        <f>Assumptions!B7</f>
        <v>0.14606427170997188</v>
      </c>
      <c r="D7" s="9">
        <f>Assumptions!B7</f>
        <v>0.14606427170997188</v>
      </c>
      <c r="E7" s="9">
        <f>Assumptions!B7</f>
        <v>0.14606427170997188</v>
      </c>
      <c r="F7" s="9">
        <f>Assumptions!B7</f>
        <v>0.14606427170997188</v>
      </c>
      <c r="G7" s="9">
        <f>Assumptions!B7</f>
        <v>0.14606427170997188</v>
      </c>
      <c r="H7" s="9">
        <f>Assumptions!B7</f>
        <v>0.14606427170997188</v>
      </c>
      <c r="I7" s="9">
        <f>Assumptions!B7</f>
        <v>0.14606427170997188</v>
      </c>
      <c r="J7" s="9">
        <f>Assumptions!B7</f>
        <v>0.14606427170997188</v>
      </c>
      <c r="K7" s="9">
        <f>Assumptions!B7</f>
        <v>0.14606427170997188</v>
      </c>
    </row>
    <row r="8" spans="1:11" x14ac:dyDescent="0.25">
      <c r="A8" t="s">
        <v>51</v>
      </c>
      <c r="B8" s="18">
        <f>B6*B7</f>
        <v>416641673.06126213</v>
      </c>
      <c r="C8" s="18">
        <f>C6*C7</f>
        <v>439311321.2788901</v>
      </c>
      <c r="D8" s="18">
        <f>D6*D7</f>
        <v>461599393.2843166</v>
      </c>
      <c r="E8" s="18">
        <f>E6*E7</f>
        <v>483321251.968809</v>
      </c>
      <c r="F8" s="18">
        <f>F6*F7</f>
        <v>504288458.7553294</v>
      </c>
      <c r="G8" s="18">
        <f>G6*G7</f>
        <v>524311337.78785056</v>
      </c>
      <c r="H8" s="18">
        <f>H6*H7</f>
        <v>543201702.3823477</v>
      </c>
      <c r="I8" s="18">
        <f>I6*I7</f>
        <v>560775692.4286405</v>
      </c>
      <c r="J8" s="18">
        <f>J6*J7</f>
        <v>576856665.7851946</v>
      </c>
      <c r="K8" s="18">
        <f>K6*K7</f>
        <v>591278082.4298245</v>
      </c>
    </row>
    <row r="9" spans="1:11" x14ac:dyDescent="0.25">
      <c r="A9" t="s">
        <v>52</v>
      </c>
      <c r="B9" s="18">
        <f>B8*(1-Assumptions!B8)</f>
        <v>372810738.61185527</v>
      </c>
      <c r="C9" s="18">
        <f>C8*(1-Assumptions!B8)</f>
        <v>393095527.2984687</v>
      </c>
      <c r="D9" s="18">
        <f>D8*(1-Assumptions!B8)</f>
        <v>413038881.8014531</v>
      </c>
      <c r="E9" s="18">
        <f>E8*(1-Assumptions!B8)</f>
        <v>432475588.9380367</v>
      </c>
      <c r="F9" s="18">
        <f>F8*(1-Assumptions!B8)</f>
        <v>451237033.9737108</v>
      </c>
      <c r="G9" s="18">
        <f>G8*(1-Assumptions!B8)</f>
        <v>469153495.0574115</v>
      </c>
      <c r="H9" s="18">
        <f>H8*(1-Assumptions!B8)</f>
        <v>486056582.84835887</v>
      </c>
      <c r="I9" s="18">
        <f>I8*(1-Assumptions!B8)</f>
        <v>501781779.4216562</v>
      </c>
      <c r="J9" s="18">
        <f>J8*(1-Assumptions!B8)</f>
        <v>516171025.48675877</v>
      </c>
      <c r="K9" s="18">
        <f>K8*(1-Assumptions!B8)</f>
        <v>529075301.1239277</v>
      </c>
    </row>
    <row r="10" spans="1:11" x14ac:dyDescent="0.25">
      <c r="A10" t="s">
        <v>53</v>
      </c>
      <c r="B10" s="18">
        <f>B6*Assumptions!B9</f>
        <v>415835955.7349396</v>
      </c>
      <c r="C10" s="18">
        <f>C6*Assumptions!B9</f>
        <v>438461764.5348339</v>
      </c>
      <c r="D10" s="18">
        <f>D6*Assumptions!B9</f>
        <v>460706735.02894694</v>
      </c>
      <c r="E10" s="18">
        <f>E6*Assumptions!B9</f>
        <v>482386587.1667264</v>
      </c>
      <c r="F10" s="18">
        <f>F6*Assumptions!B9</f>
        <v>503313246.78073674</v>
      </c>
      <c r="G10" s="18">
        <f>G6*Assumptions!B9</f>
        <v>523297404.8172499</v>
      </c>
      <c r="H10" s="18">
        <f>H6*Assumptions!B9</f>
        <v>542151238.5147235</v>
      </c>
      <c r="I10" s="18">
        <f>I6*Assumptions!B9</f>
        <v>559691243.3185683</v>
      </c>
      <c r="J10" s="18">
        <f>J6*Assumptions!B9</f>
        <v>575741118.6844622</v>
      </c>
      <c r="K10" s="18">
        <f>K6*Assumptions!B9</f>
        <v>590134646.6515738</v>
      </c>
    </row>
    <row r="11" spans="1:11" x14ac:dyDescent="0.25">
      <c r="A11" t="s">
        <v>54</v>
      </c>
      <c r="B11" s="18">
        <f>-B6*B19</f>
        <v>-80319484.70191218</v>
      </c>
      <c r="C11" s="18">
        <f>-C6*C19</f>
        <v>-106006839.04194655</v>
      </c>
      <c r="D11" s="18">
        <f>-D6*D19</f>
        <v>-133783646.05556099</v>
      </c>
      <c r="E11" s="18">
        <f>-E6*E19</f>
        <v>-163531886.92388105</v>
      </c>
      <c r="F11" s="18">
        <f>-F6*F19</f>
        <v>-195096234.82198465</v>
      </c>
      <c r="G11" s="18">
        <f>-G6*G19</f>
        <v>-228284249.05047154</v>
      </c>
      <c r="H11" s="18">
        <f>-H6*H19</f>
        <v>-262867394.23722613</v>
      </c>
      <c r="I11" s="18">
        <f>-I6*I19</f>
        <v>-298582912.40420246</v>
      </c>
      <c r="J11" s="18">
        <f>-J6*J19</f>
        <v>-335136552.4948367</v>
      </c>
      <c r="K11" s="18">
        <f>-K6*K19</f>
        <v>-372206137.15339005</v>
      </c>
    </row>
    <row r="12" spans="1:11" x14ac:dyDescent="0.25">
      <c r="A12" t="s">
        <v>55</v>
      </c>
      <c r="B12" s="18">
        <f>-(B6-Assumptions!B29)*Assumptions!B11</f>
        <v>1103557.2424061098</v>
      </c>
      <c r="C12" s="18">
        <f>-(C6-B6)*Assumptions!B11</f>
        <v>-47621415.59604562</v>
      </c>
      <c r="D12" s="18">
        <f>-(D6-C6)*Assumptions!B11</f>
        <v>-46819850.472124495</v>
      </c>
      <c r="E12" s="18">
        <f>-(E6-D6)*Assumptions!B11</f>
        <v>-45630423.992570594</v>
      </c>
      <c r="F12" s="18">
        <f>-(F6-E6)*Assumptions!B11</f>
        <v>-44045150.53271486</v>
      </c>
      <c r="G12" s="18">
        <f>-(G6-F6)*Assumptions!B11</f>
        <v>-42061430.979576424</v>
      </c>
      <c r="H12" s="18">
        <f>-(H6-G6)*Assumptions!B11</f>
        <v>-39682393.58985097</v>
      </c>
      <c r="I12" s="18">
        <f>-(I6-H6)*Assumptions!B11</f>
        <v>-36917127.06086475</v>
      </c>
      <c r="J12" s="18">
        <f>-(J6-I6)*Assumptions!B11</f>
        <v>-33780793.9518846</v>
      </c>
      <c r="K12" s="18">
        <f>-(K6-J6)*Assumptions!B11</f>
        <v>-30294615.466666713</v>
      </c>
    </row>
    <row r="13" spans="1:11" x14ac:dyDescent="0.25">
      <c r="A13" s="19" t="s">
        <v>56</v>
      </c>
      <c r="B13" s="20">
        <f>B9+B10+B11+B12</f>
        <v>709430766.8872888</v>
      </c>
      <c r="C13" s="20">
        <f>C9+C10+C11+C12</f>
        <v>677929037.1953105</v>
      </c>
      <c r="D13" s="20">
        <f>D9+D10+D11+D12</f>
        <v>693142120.3027146</v>
      </c>
      <c r="E13" s="20">
        <f>E9+E10+E11+E12</f>
        <v>705699865.1883113</v>
      </c>
      <c r="F13" s="20">
        <f>F9+F10+F11+F12</f>
        <v>715408895.399748</v>
      </c>
      <c r="G13" s="20">
        <f>G9+G10+G11+G12</f>
        <v>722105219.8446134</v>
      </c>
      <c r="H13" s="20">
        <f>H9+H10+H11+H12</f>
        <v>725658033.5360053</v>
      </c>
      <c r="I13" s="20">
        <f>I9+I10+I11+I12</f>
        <v>725972983.2751575</v>
      </c>
      <c r="J13" s="20">
        <f>J9+J10+J11+J12</f>
        <v>722994797.7244997</v>
      </c>
      <c r="K13" s="20">
        <f>K9+K10+K11+K12</f>
        <v>716709195.1554447</v>
      </c>
    </row>
    <row r="14" spans="1:11" x14ac:dyDescent="0.25">
      <c r="A14" t="s">
        <v>57</v>
      </c>
      <c r="B14" s="21">
        <f>1/(1+Assumptions!$B$26)^(1-0.5*Assumptions!$B$32)</f>
        <v>0.9594364637649914</v>
      </c>
      <c r="C14" s="21">
        <f>1/(1+Assumptions!$B$26)^(2-0.5*Assumptions!$B$32)</f>
        <v>0.8831788494489777</v>
      </c>
      <c r="D14" s="21">
        <f>1/(1+Assumptions!$B$26)^(3-0.5*Assumptions!$B$32)</f>
        <v>0.8129823178213895</v>
      </c>
      <c r="E14" s="21">
        <f>1/(1+Assumptions!$B$26)^(4-0.5*Assumptions!$B$32)</f>
        <v>0.7483651238960315</v>
      </c>
      <c r="F14" s="21">
        <f>1/(1+Assumptions!$B$26)^(5-0.5*Assumptions!$B$32)</f>
        <v>0.6888838125836882</v>
      </c>
      <c r="G14" s="21">
        <f>1/(1+Assumptions!$B$26)^(6-0.5*Assumptions!$B$32)</f>
        <v>0.6341301753470913</v>
      </c>
      <c r="H14" s="21">
        <f>1/(1+Assumptions!$B$26)^(7-0.5*Assumptions!$B$32)</f>
        <v>0.5837284487460379</v>
      </c>
      <c r="I14" s="21">
        <f>1/(1+Assumptions!$B$26)^(8-0.5*Assumptions!$B$32)</f>
        <v>0.5373327356468288</v>
      </c>
      <c r="J14" s="21">
        <f>1/(1+Assumptions!$B$26)^(9-0.5*Assumptions!$B$32)</f>
        <v>0.4946246313982905</v>
      </c>
      <c r="K14" s="21">
        <f>1/(1+Assumptions!$B$26)^(10-0.5*Assumptions!$B$32)</f>
        <v>0.45531103868329625</v>
      </c>
    </row>
    <row r="15" spans="1:11" x14ac:dyDescent="0.25">
      <c r="A15" s="19" t="s">
        <v>58</v>
      </c>
      <c r="B15" s="20">
        <f>B13*B14</f>
        <v>680653746.2684263</v>
      </c>
      <c r="C15" s="20">
        <f>C13*C14</f>
        <v>598732587.0782075</v>
      </c>
      <c r="D15" s="20">
        <f>D13*D14</f>
        <v>563512287.5433333</v>
      </c>
      <c r="E15" s="20">
        <f>E13*E14</f>
        <v>528121167.0450633</v>
      </c>
      <c r="F15" s="20">
        <f>F13*F14</f>
        <v>492833607.4192634</v>
      </c>
      <c r="G15" s="20">
        <f>G13*G14</f>
        <v>457908709.6791146</v>
      </c>
      <c r="H15" s="20">
        <f>H13*H14</f>
        <v>423587238.2360727</v>
      </c>
      <c r="I15" s="20">
        <f>I13*I14</f>
        <v>390089049.1089299</v>
      </c>
      <c r="J15" s="20">
        <f>J13*J14</f>
        <v>357611035.32736224</v>
      </c>
      <c r="K15" s="20">
        <f>K13*K14</f>
        <v>326325608.0800948</v>
      </c>
    </row>
    <row r="17" spans="1:2" x14ac:dyDescent="0.25">
      <c r="A17" s="22" t="s">
        <v>59</v>
      </c>
      <c r="B17" s="23">
        <f>SUM(B15:K15)</f>
        <v>4819375035.785868</v>
      </c>
    </row>
    <row r="19" spans="1:11" x14ac:dyDescent="0.25">
      <c r="A19" t="s">
        <v>7</v>
      </c>
      <c r="B19" s="9">
        <f>Assumptions!$B$10+($B$20-Assumptions!$B$10)*0/9</f>
        <v>0.02815802593846634</v>
      </c>
      <c r="C19" s="9">
        <f>Assumptions!$B$10+($B$20-Assumptions!$B$10)*1/9</f>
        <v>0.03524564697277281</v>
      </c>
      <c r="D19" s="9">
        <f>Assumptions!$B$10+($B$20-Assumptions!$B$10)*2/9</f>
        <v>0.04233326800707929</v>
      </c>
      <c r="E19" s="9">
        <f>Assumptions!$B$10+($B$20-Assumptions!$B$10)*3/9</f>
        <v>0.049420889041385765</v>
      </c>
      <c r="F19" s="9">
        <f>Assumptions!$B$10+($B$20-Assumptions!$B$10)*4/9</f>
        <v>0.05650851007569224</v>
      </c>
      <c r="G19" s="9">
        <f>Assumptions!$B$10+($B$20-Assumptions!$B$10)*5/9</f>
        <v>0.06359613110999872</v>
      </c>
      <c r="H19" s="9">
        <f>Assumptions!$B$10+($B$20-Assumptions!$B$10)*6/9</f>
        <v>0.07068375214430518</v>
      </c>
      <c r="I19" s="9">
        <f>Assumptions!$B$10+($B$20-Assumptions!$B$10)*7/9</f>
        <v>0.07777137317861167</v>
      </c>
      <c r="J19" s="9">
        <f>Assumptions!$B$10+($B$20-Assumptions!$B$10)*8/9</f>
        <v>0.08485899421291813</v>
      </c>
      <c r="K19" s="9">
        <f>Assumptions!$B$10+($B$20-Assumptions!$B$10)*9/9</f>
        <v>0.09194661524722461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0.09194661524722461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716709195.1554447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977266129.8512533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0.28953792266207773</v>
      </c>
    </row>
    <row r="7" spans="1:2" x14ac:dyDescent="0.25">
      <c r="A7" t="s">
        <v>66</v>
      </c>
      <c r="B7" s="18">
        <f>-MAX(B5,0)*B6</f>
        <v>-282955605.1251402</v>
      </c>
    </row>
    <row r="8" spans="1:2" x14ac:dyDescent="0.25">
      <c r="A8" t="s">
        <v>67</v>
      </c>
      <c r="B8" s="18">
        <f>IF(OR(Assumptions!$B$33=0,Assumptions!B12&lt;=0),B5,MAX(B5+B7,0))</f>
        <v>694310524.7261131</v>
      </c>
    </row>
    <row r="9" spans="1:2" x14ac:dyDescent="0.25">
      <c r="A9" t="s">
        <v>68</v>
      </c>
      <c r="B9" s="18">
        <f>B8*(1+Assumptions!B12)/(Assumptions!B26-Assumptions!B12)</f>
        <v>11601179810.130747</v>
      </c>
    </row>
    <row r="10" spans="1:2" x14ac:dyDescent="0.25">
      <c r="A10" t="s">
        <v>69</v>
      </c>
      <c r="B10" s="18">
        <f>B9/(1+Assumptions!B26)^(10-0.5*Assumptions!B32)</f>
        <v>5282145229.302316</v>
      </c>
    </row>
    <row r="11" spans="1:2" x14ac:dyDescent="0.25">
      <c r="A11" t="s">
        <v>70</v>
      </c>
      <c r="B11" s="18">
        <f>Forecast!B17+B10</f>
        <v>10101520265.088184</v>
      </c>
    </row>
    <row r="12" spans="1:2" x14ac:dyDescent="0.25">
      <c r="A12" t="s">
        <v>71</v>
      </c>
      <c r="B12" s="18">
        <f>-Assumptions!B30</f>
        <v>-2478347000</v>
      </c>
    </row>
    <row r="13" spans="1:2" x14ac:dyDescent="0.25">
      <c r="A13" t="s">
        <v>72</v>
      </c>
      <c r="B13" s="18">
        <f>B11+B12</f>
        <v>7623173265.088184</v>
      </c>
    </row>
    <row r="14" spans="1:2" x14ac:dyDescent="0.25">
      <c r="A14" s="19" t="s">
        <v>73</v>
      </c>
      <c r="B14" s="24">
        <f>B13/Assumptions!B31</f>
        <v>65.38164814175722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1181412729.0813982</v>
      </c>
    </row>
    <row r="18" spans="1:2" x14ac:dyDescent="0.25">
      <c r="A18" t="s">
        <v>68</v>
      </c>
      <c r="B18" s="18">
        <f>B17*Assumptions!B13</f>
        <v>23628254581.627964</v>
      </c>
    </row>
    <row r="19" spans="1:2" x14ac:dyDescent="0.25">
      <c r="A19" t="s">
        <v>69</v>
      </c>
      <c r="B19" s="18">
        <f>B18/(1+Assumptions!B26)^(10-0.5*Assumptions!B32)</f>
        <v>10758205135.834381</v>
      </c>
    </row>
    <row r="20" spans="1:2" x14ac:dyDescent="0.25">
      <c r="A20" t="s">
        <v>70</v>
      </c>
      <c r="B20" s="18">
        <f>Forecast!B17+B19</f>
        <v>15577580171.620249</v>
      </c>
    </row>
    <row r="21" spans="1:2" x14ac:dyDescent="0.25">
      <c r="A21" t="s">
        <v>71</v>
      </c>
      <c r="B21" s="18">
        <f>-Assumptions!B30</f>
        <v>-2478347000</v>
      </c>
    </row>
    <row r="22" spans="1:2" x14ac:dyDescent="0.25">
      <c r="A22" t="s">
        <v>72</v>
      </c>
      <c r="B22" s="18">
        <f>B20+B21</f>
        <v>13099233171.620249</v>
      </c>
    </row>
    <row r="23" spans="1:2" x14ac:dyDescent="0.25">
      <c r="A23" s="19" t="s">
        <v>73</v>
      </c>
      <c r="B23" s="25">
        <f>B22/Assumptions!B31</f>
        <v>112.34815533788111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157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65.38164814175722</v>
      </c>
    </row>
    <row r="29" spans="1:2" x14ac:dyDescent="0.25">
      <c r="A29" s="19" t="s">
        <v>81</v>
      </c>
      <c r="B29" s="11">
        <f>B28/B26-1</f>
        <v>-0.5835563812626928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0.066344</v>
      </c>
      <c r="B5" s="31">
        <v>94.87553017399487</v>
      </c>
      <c r="C5" s="31">
        <v>93.33950400783134</v>
      </c>
      <c r="D5" s="31">
        <v>91.8034778416678</v>
      </c>
      <c r="E5" s="31">
        <v>90.26745167550426</v>
      </c>
      <c r="F5" s="31">
        <v>88.73142550934072</v>
      </c>
    </row>
    <row r="6" spans="1:6" x14ac:dyDescent="0.25">
      <c r="A6" s="30">
        <v>0.076344</v>
      </c>
      <c r="B6" s="31">
        <v>79.37467899801896</v>
      </c>
      <c r="C6" s="31">
        <v>78.11302933132163</v>
      </c>
      <c r="D6" s="31">
        <v>76.85137966462425</v>
      </c>
      <c r="E6" s="31">
        <v>75.58972999792691</v>
      </c>
      <c r="F6" s="31">
        <v>74.32808033122953</v>
      </c>
    </row>
    <row r="7" spans="1:6" x14ac:dyDescent="0.25">
      <c r="A7" s="30">
        <v>0.086344</v>
      </c>
      <c r="B7" s="31">
        <v>67.49270652916346</v>
      </c>
      <c r="C7" s="31">
        <v>66.43741809028774</v>
      </c>
      <c r="D7" s="32">
        <v>65.38212965141204</v>
      </c>
      <c r="E7" s="31">
        <v>64.32684121253634</v>
      </c>
      <c r="F7" s="31">
        <v>63.27155277366061</v>
      </c>
    </row>
    <row r="8" spans="1:6" x14ac:dyDescent="0.25">
      <c r="A8" s="30">
        <v>0.096344</v>
      </c>
      <c r="B8" s="31">
        <v>58.1011265337333</v>
      </c>
      <c r="C8" s="31">
        <v>57.20568421718631</v>
      </c>
      <c r="D8" s="31">
        <v>56.31024190063931</v>
      </c>
      <c r="E8" s="31">
        <v>55.41479958409231</v>
      </c>
      <c r="F8" s="31">
        <v>54.519357267545296</v>
      </c>
    </row>
    <row r="9" spans="1:6" x14ac:dyDescent="0.25">
      <c r="A9" s="30">
        <v>0.106344</v>
      </c>
      <c r="B9" s="31">
        <v>50.496022008422024</v>
      </c>
      <c r="C9" s="31">
        <v>49.72729751722473</v>
      </c>
      <c r="D9" s="31">
        <v>48.95857302602739</v>
      </c>
      <c r="E9" s="31">
        <v>48.18984853483009</v>
      </c>
      <c r="F9" s="31">
        <v>47.42112404363277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2856051000</v>
      </c>
      <c r="C5" s="18">
        <v>2755026000</v>
      </c>
      <c r="D5" s="18">
        <v>2750571000</v>
      </c>
      <c r="E5" s="18">
        <v>3311822000</v>
      </c>
      <c r="F5" s="6" t="s">
        <v>91</v>
      </c>
    </row>
    <row r="6" spans="1:6" x14ac:dyDescent="0.25">
      <c r="A6" t="s">
        <v>51</v>
      </c>
      <c r="B6" s="18">
        <v>356635000</v>
      </c>
      <c r="C6" s="18">
        <v>346741000</v>
      </c>
      <c r="D6" s="18">
        <v>300562000</v>
      </c>
      <c r="E6" s="18">
        <v>742699000</v>
      </c>
      <c r="F6" s="6" t="s">
        <v>92</v>
      </c>
    </row>
    <row r="7" spans="1:6" x14ac:dyDescent="0.25">
      <c r="A7" t="s">
        <v>93</v>
      </c>
      <c r="B7" s="18">
        <v>405340000</v>
      </c>
      <c r="C7" s="18">
        <v>427849000</v>
      </c>
      <c r="D7" s="18">
        <v>431769000</v>
      </c>
      <c r="E7" s="18">
        <v>427000000</v>
      </c>
      <c r="F7" s="6" t="s">
        <v>94</v>
      </c>
    </row>
    <row r="8" spans="1:6" x14ac:dyDescent="0.25">
      <c r="A8" t="s">
        <v>95</v>
      </c>
      <c r="B8" s="18">
        <v>73522000</v>
      </c>
      <c r="C8" s="18">
        <v>86648000</v>
      </c>
      <c r="D8" s="18">
        <v>81368000</v>
      </c>
      <c r="E8" s="18">
        <v>85632000</v>
      </c>
      <c r="F8" s="6" t="s">
        <v>96</v>
      </c>
    </row>
    <row r="9" spans="1:6" x14ac:dyDescent="0.25">
      <c r="A9" t="s">
        <v>97</v>
      </c>
      <c r="B9" s="18">
        <v>96781000</v>
      </c>
      <c r="C9" s="18">
        <v>18305000</v>
      </c>
      <c r="D9" s="18">
        <v>391346000</v>
      </c>
      <c r="E9" s="18">
        <v>262968000</v>
      </c>
      <c r="F9" s="6" t="s">
        <v>98</v>
      </c>
    </row>
    <row r="10" spans="1:6" x14ac:dyDescent="0.25">
      <c r="A10" t="s">
        <v>99</v>
      </c>
      <c r="B10" s="18">
        <v>3398207000</v>
      </c>
      <c r="C10" s="18">
        <v>3325805000</v>
      </c>
      <c r="D10" s="18">
        <v>4065295000</v>
      </c>
      <c r="E10" s="18">
        <v>4595461000</v>
      </c>
      <c r="F10" s="6" t="s">
        <v>100</v>
      </c>
    </row>
    <row r="11" spans="1:6" x14ac:dyDescent="0.25">
      <c r="A11" t="s">
        <v>101</v>
      </c>
      <c r="B11" s="18">
        <v>919860000</v>
      </c>
      <c r="C11" s="18">
        <v>1163396000</v>
      </c>
      <c r="D11" s="18">
        <v>1603079000</v>
      </c>
      <c r="E11" s="18">
        <v>454358000</v>
      </c>
      <c r="F11" s="6" t="s">
        <v>102</v>
      </c>
    </row>
    <row r="12" spans="1:6" x14ac:dyDescent="0.25">
      <c r="A12" t="s">
        <v>34</v>
      </c>
      <c r="B12" s="34">
        <v>116595000</v>
      </c>
      <c r="C12" s="34">
        <v>122822000</v>
      </c>
      <c r="D12" s="34">
        <v>124812000</v>
      </c>
      <c r="E12" s="34">
        <v>126426000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