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<sst xmlns="http://schemas.openxmlformats.org/spreadsheetml/2006/main" count="114" uniqueCount="102">
  <si>
    <t>Reliance Worldwide Corporation Limited (RWC.AX)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</si>
  <si>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</si>
  <si>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</si>
  <si>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</si>
  <si>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</si>
  <si>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</si>
  <si>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</si>
  <si>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</si>
  <si>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</si>
  <si>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</si>
  <si>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</si>
  <si>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</si>
  <si>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</si>
  <si>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</si>
  <si>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</si>
  <si>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</si>
  <si>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Australian Government 10-year (RBA F2)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</si>
  <si>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</si>
  <si>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</si>
  <si>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</si>
  <si>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</si>
  <si>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</si>
  <si>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</si>
  <si>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</si>
  <si>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</si>
  <si>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</si>
  <si>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</si>
  <si>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</si>
  <si>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</si>
  <si>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</si>
  <si>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2026-06-30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</si>
  <si>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</si>
  <si>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</si>
  <si>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</si>
  <si>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</si>
  <si>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</si>
  <si>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</si>
  <si>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</si>
  <si>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</si>
  <si>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</si>
  <si>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</si>
  <si>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</si>
  <si>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</si>
  <si>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</si>
  <si>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</si>
  <si>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</si>
  <si>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</si>
  <si>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</si>
  <si>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</si>
  <si>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</si>
  <si>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</si>
  <si>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</si>
  <si>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</si>
  <si>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</si>
  <si>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</si>
  <si>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</si>
  <si>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</si>
  <si>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</si>
  <si>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</si>
  <si>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</si>
  <si>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</si>
  <si>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</si>
  <si>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</si>
  <si>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</si>
  <si>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</si>
  <si>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</si>
  <si>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</si>
  <si>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</si>
  <si>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</si>
  <si>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(AUD)</t>
  </si>
  <si>
    <t>Conversion, USD to AUD</t>
  </si>
  <si>
    <t>USD/AUD at 1.4042</t>
  </si>
  <si>
    <t>Value per share (AUD)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</si>
  <si>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</si>
  <si>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</si>
  <si>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</si>
  <si>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</si>
  <si>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</si>
  <si>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</si>
  <si>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2026-06-30</t>
  </si>
  <si>
    <t>2025-06-30</t>
  </si>
  <si>
    <t>2024-06-30</t>
  </si>
  <si>
    <t>2023-06-30</t>
  </si>
  <si>
    <t>Yahoo field, latest year</t>
  </si>
  <si>
    <t>totalRevenue</t>
  </si>
  <si>
    <t>operatingIncome</t>
  </si>
  <si>
    <t>Depreciation &amp; amortisation</t>
  </si>
  <si>
    <t>reconciledDepreciation</t>
  </si>
  <si>
    <t>Capital expenditure</t>
  </si>
  <si>
    <t>capitalExpenditure</t>
  </si>
  <si>
    <t>Change in working capital</t>
  </si>
  <si>
    <t>derived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</si>
  <si>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</si>
  <si>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</si>
  <si>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</si>
  <si>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</si>
  <si>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</si>
  <si>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</si>
  <si>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Some line items were not reported and have been derived. Each one is labelled in the workings below.</t>
  </si>
  <si>
    <t>Adjusted: Reports in USD, trades in AUD. Modelled in USD, converted at the end.</t>
  </si>
  <si>
    <t>Current EV/EBITDA of 24.4x sits outside a defensible 3-20x band, so the exit multiple is capped at 20.0x. A multiple that far out usually means EBITDA is the wrong denominator for this business.</t>
  </si>
  <si>
    <t>Data: Yahoo Finance. Risk-free rate: Australian Government 10-year (RBA F2).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</si>
</sst>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0.01629566643890712</v>
      </c>
    </row>
    <row r="7" spans="1:2" x14ac:dyDescent="0.25">
      <c r="A7" t="s">
        <v>5</v>
      </c>
      <c r="B7" s="6">
        <v>0.09962307886286048</v>
      </c>
    </row>
    <row r="8" spans="1:2" x14ac:dyDescent="0.25">
      <c r="A8" t="s">
        <v>6</v>
      </c>
      <c r="B8" s="6">
        <v>0.2880144079324265</v>
      </c>
    </row>
    <row r="9" spans="1:2" x14ac:dyDescent="0.25">
      <c r="A9" t="s">
        <v>7</v>
      </c>
      <c r="B9" s="6">
        <v>0.04977626760811942</v>
      </c>
    </row>
    <row r="10" spans="1:2" x14ac:dyDescent="0.25">
      <c r="A10" t="s">
        <v>8</v>
      </c>
      <c r="B10" s="6">
        <v>0.02698056463713711</v>
      </c>
    </row>
    <row r="11" spans="1:2" x14ac:dyDescent="0.25">
      <c r="A11" t="s">
        <v>9</v>
      </c>
      <c r="B11" s="6">
        <v>-0.9859030837004406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0.09940689320384145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0.05348</v>
      </c>
      <c r="C17" s="8" t="s">
        <v>16</v>
      </c>
    </row>
    <row r="18" spans="1:2" x14ac:dyDescent="0.25">
      <c r="A18" t="s">
        <v>17</v>
      </c>
      <c r="B18" s="6">
        <v>0.06</v>
      </c>
    </row>
    <row r="19" spans="1:3" x14ac:dyDescent="0.25">
      <c r="A19" t="s">
        <v>18</v>
      </c>
      <c r="B19" s="9">
        <v>0.87806</v>
      </c>
      <c r="C19" s="8" t="s">
        <v>19</v>
      </c>
    </row>
    <row r="20" spans="1:2" x14ac:dyDescent="0.25">
      <c r="A20" t="s">
        <v>20</v>
      </c>
      <c r="B20" s="10">
        <f>B17+B19*B18</f>
        <v>0.1061636</v>
      </c>
    </row>
    <row r="21" spans="1:3" x14ac:dyDescent="0.25">
      <c r="A21" t="s">
        <v>21</v>
      </c>
      <c r="B21" s="6">
        <v>0.05348</v>
      </c>
      <c r="C21" s="8" t="s">
        <v>22</v>
      </c>
    </row>
    <row r="22" spans="1:2" x14ac:dyDescent="0.25">
      <c r="A22" t="s">
        <v>23</v>
      </c>
      <c r="B22" s="11">
        <v>3433498112</v>
      </c>
    </row>
    <row r="23" spans="1:2" x14ac:dyDescent="0.25">
      <c r="A23" t="s">
        <v>24</v>
      </c>
      <c r="B23" s="11">
        <v>378268000</v>
      </c>
    </row>
    <row r="24" spans="1:2" x14ac:dyDescent="0.25">
      <c r="A24" t="s">
        <v>25</v>
      </c>
      <c r="B24" s="10">
        <f>B22/(B22+B23)</f>
        <v>0.900763061298762</v>
      </c>
    </row>
    <row r="25" spans="1:2" x14ac:dyDescent="0.25">
      <c r="A25" t="s">
        <v>26</v>
      </c>
      <c r="B25" s="10">
        <f>1-B24</f>
        <v>0.09923693870123795</v>
      </c>
    </row>
    <row r="26" spans="1:2" x14ac:dyDescent="0.25">
      <c r="A26" t="s">
        <v>27</v>
      </c>
      <c r="B26" s="12">
        <f>B24*B20+B25*B21*(1-B8)</f>
        <v>0.09940689320384145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1305604000</v>
      </c>
      <c r="C29" s="8" t="s">
        <v>30</v>
      </c>
    </row>
    <row r="30" spans="1:2" x14ac:dyDescent="0.25">
      <c r="A30" t="s">
        <v>31</v>
      </c>
      <c r="B30" s="11">
        <v>349702000</v>
      </c>
    </row>
    <row r="31" spans="1:2" x14ac:dyDescent="0.25">
      <c r="A31" t="s">
        <v>32</v>
      </c>
      <c r="B31" s="13">
        <v>760579848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0.01629566643890712</v>
      </c>
      <c r="C5" s="10">
        <f>Assumptions!B6</f>
        <v>0.01629566643890712</v>
      </c>
      <c r="D5" s="10">
        <f>Assumptions!B6</f>
        <v>0.01629566643890712</v>
      </c>
      <c r="E5" s="10">
        <f>Assumptions!B6</f>
        <v>0.01629566643890712</v>
      </c>
      <c r="F5" s="10">
        <f>Assumptions!B6</f>
        <v>0.01629566643890712</v>
      </c>
    </row>
    <row r="6" spans="1:6" x14ac:dyDescent="0.25">
      <c r="A6" t="s">
        <v>43</v>
      </c>
      <c r="B6" s="18">
        <f>Assumptions!B29*(1+B5)</f>
        <v>1326879687.2853029</v>
      </c>
      <c r="C6" s="18">
        <f>B6*(1+C5)</f>
        <v>1348502076.0738657</v>
      </c>
      <c r="D6" s="18">
        <f>C6*(1+D5)</f>
        <v>1370476816.0977392</v>
      </c>
      <c r="E6" s="18">
        <f>D6*(1+E5)</f>
        <v>1392809649.1551235</v>
      </c>
      <c r="F6" s="18">
        <f>E6*(1+F5)</f>
        <v>1415506410.6106467</v>
      </c>
    </row>
    <row r="7" spans="1:6" x14ac:dyDescent="0.25">
      <c r="A7" t="s">
        <v>5</v>
      </c>
      <c r="B7" s="10">
        <f>Assumptions!B7</f>
        <v>0.09962307886286048</v>
      </c>
      <c r="C7" s="10">
        <f>Assumptions!B7</f>
        <v>0.09962307886286048</v>
      </c>
      <c r="D7" s="10">
        <f>Assumptions!B7</f>
        <v>0.09962307886286048</v>
      </c>
      <c r="E7" s="10">
        <f>Assumptions!B7</f>
        <v>0.09962307886286048</v>
      </c>
      <c r="F7" s="10">
        <f>Assumptions!B7</f>
        <v>0.09962307886286048</v>
      </c>
    </row>
    <row r="8" spans="1:6" x14ac:dyDescent="0.25">
      <c r="A8" t="s">
        <v>44</v>
      </c>
      <c r="B8" s="18">
        <f>B6*B7</f>
        <v>132187839.72795138</v>
      </c>
      <c r="C8" s="18">
        <f>C6*C7</f>
        <v>134341928.6714378</v>
      </c>
      <c r="D8" s="18">
        <f>D6*D7</f>
        <v>136531119.929827</v>
      </c>
      <c r="E8" s="18">
        <f>E6*E7</f>
        <v>138755985.51873392</v>
      </c>
      <c r="F8" s="18">
        <f>F6*F7</f>
        <v>141017106.77514902</v>
      </c>
    </row>
    <row r="9" spans="1:6" x14ac:dyDescent="0.25">
      <c r="A9" t="s">
        <v>45</v>
      </c>
      <c r="B9" s="18">
        <f>B8*(1-Assumptions!B8)</f>
        <v>94115837.33283898</v>
      </c>
      <c r="C9" s="18">
        <f>C8*(1-Assumptions!B8)</f>
        <v>95649517.62463337</v>
      </c>
      <c r="D9" s="18">
        <f>D8*(1-Assumptions!B8)</f>
        <v>97208190.25888677</v>
      </c>
      <c r="E9" s="18">
        <f>E8*(1-Assumptions!B8)</f>
        <v>98792262.50247543</v>
      </c>
      <c r="F9" s="18">
        <f>F8*(1-Assumptions!B8)</f>
        <v>100402148.25896071</v>
      </c>
    </row>
    <row r="10" spans="1:6" x14ac:dyDescent="0.25">
      <c r="A10" t="s">
        <v>46</v>
      </c>
      <c r="B10" s="18">
        <f>B6*Assumptions!B9</f>
        <v>66047118.39809105</v>
      </c>
      <c r="C10" s="18">
        <f>C6*Assumptions!B9</f>
        <v>67123400.20875736</v>
      </c>
      <c r="D10" s="18">
        <f>D6*Assumptions!B9</f>
        <v>68217220.74880454</v>
      </c>
      <c r="E10" s="18">
        <f>E6*Assumptions!B9</f>
        <v>69328865.82351635</v>
      </c>
      <c r="F10" s="18">
        <f>F6*Assumptions!B9</f>
        <v>70458625.89556412</v>
      </c>
    </row>
    <row r="11" spans="1:6" x14ac:dyDescent="0.25">
      <c r="A11" t="s">
        <v>47</v>
      </c>
      <c r="B11" s="18">
        <f>-B6*Assumptions!B10</f>
        <v>-35799963.168505386</v>
      </c>
      <c r="C11" s="18">
        <f>-C6*Assumptions!B10</f>
        <v>-36383347.42682452</v>
      </c>
      <c r="D11" s="18">
        <f>-D6*Assumptions!B10</f>
        <v>-36976238.32042292</v>
      </c>
      <c r="E11" s="18">
        <f>-E6*Assumptions!B10</f>
        <v>-37578790.76625807</v>
      </c>
      <c r="F11" s="18">
        <f>-F6*Assumptions!B10</f>
        <v>-38191162.2057625</v>
      </c>
    </row>
    <row r="12" spans="1:6" x14ac:dyDescent="0.25">
      <c r="A12" t="s">
        <v>48</v>
      </c>
      <c r="B12" s="18">
        <f>-(B6-Assumptions!B29)*Assumptions!B11</f>
        <v>20975765.702426363</v>
      </c>
      <c r="C12" s="18">
        <f>-(C6-B6)*Assumptions!B11</f>
        <v>21317579.78361387</v>
      </c>
      <c r="D12" s="18">
        <f>-(D6-C6)*Assumptions!B11</f>
        <v>21664963.953052443</v>
      </c>
      <c r="E12" s="18">
        <f>-(E6-D6)*Assumptions!B11</f>
        <v>22018008.979042273</v>
      </c>
      <c r="F12" s="18">
        <f>-(F6-E6)*Assumptions!B11</f>
        <v>22376807.109013673</v>
      </c>
    </row>
    <row r="13" spans="1:6" x14ac:dyDescent="0.25">
      <c r="A13" s="19" t="s">
        <v>49</v>
      </c>
      <c r="B13" s="20">
        <f>B9+B10+B11+B12</f>
        <v>145338758.264851</v>
      </c>
      <c r="C13" s="20">
        <f>C9+C10+C11+C12</f>
        <v>147707150.19018006</v>
      </c>
      <c r="D13" s="20">
        <f>D9+D10+D11+D12</f>
        <v>150114136.64032084</v>
      </c>
      <c r="E13" s="20">
        <f>E9+E10+E11+E12</f>
        <v>152560346.53877598</v>
      </c>
      <c r="F13" s="20">
        <f>F9+F10+F11+F12</f>
        <v>155046419.057776</v>
      </c>
    </row>
    <row r="14" spans="1:6" x14ac:dyDescent="0.25">
      <c r="A14" t="s">
        <v>50</v>
      </c>
      <c r="B14" s="21">
        <f>1/(1+Assumptions!$B$26)^(1-0.5*Assumptions!$B$32)</f>
        <v>0.9537197410317536</v>
      </c>
      <c r="C14" s="21">
        <f>1/(1+Assumptions!$B$26)^(2-0.5*Assumptions!$B$32)</f>
        <v>0.8674856842605989</v>
      </c>
      <c r="D14" s="21">
        <f>1/(1+Assumptions!$B$26)^(3-0.5*Assumptions!$B$32)</f>
        <v>0.7890487949667222</v>
      </c>
      <c r="E14" s="21">
        <f>1/(1+Assumptions!$B$26)^(4-0.5*Assumptions!$B$32)</f>
        <v>0.7177040637496025</v>
      </c>
      <c r="F14" s="21">
        <f>1/(1+Assumptions!$B$26)^(5-0.5*Assumptions!$B$32)</f>
        <v>0.6528102272108754</v>
      </c>
    </row>
    <row r="15" spans="1:6" x14ac:dyDescent="0.25">
      <c r="A15" s="19" t="s">
        <v>51</v>
      </c>
      <c r="B15" s="20">
        <f>B13*B14</f>
        <v>138612442.89423034</v>
      </c>
      <c r="C15" s="20">
        <f>C13*C14</f>
        <v>128133838.2529114</v>
      </c>
      <c r="D15" s="20">
        <f>D13*D14</f>
        <v>118447378.62351504</v>
      </c>
      <c r="E15" s="20">
        <f>E13*E14</f>
        <v>109493180.67792712</v>
      </c>
      <c r="F15" s="20">
        <f>F13*F14</f>
        <v>101215888.05333936</v>
      </c>
    </row>
    <row r="17" spans="1:2" x14ac:dyDescent="0.25">
      <c r="A17" s="22" t="s">
        <v>52</v>
      </c>
      <c r="B17" s="23">
        <f>SUM(B15:F15)</f>
        <v>595902728.5019233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155046419.057776</v>
      </c>
    </row>
    <row r="5" spans="1:2" x14ac:dyDescent="0.25">
      <c r="A5" t="s">
        <v>56</v>
      </c>
      <c r="B5" s="18">
        <f>IF(Assumptions!$B$33=0,B4,B4-Forecast!F11-Forecast!F10-Forecast!F12)</f>
        <v>100402148.25896071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0.25149161385353414</v>
      </c>
    </row>
    <row r="7" spans="1:2" x14ac:dyDescent="0.25">
      <c r="A7" t="s">
        <v>58</v>
      </c>
      <c r="B7" s="18">
        <f>-MAX(Forecast!F9,0)*B6</f>
        <v>-25250298.30000783</v>
      </c>
    </row>
    <row r="8" spans="1:2" x14ac:dyDescent="0.25">
      <c r="A8" t="s">
        <v>59</v>
      </c>
      <c r="B8" s="18">
        <f>IF(OR(Assumptions!$B$33=0,Assumptions!B12&lt;=0),B5,MAX(B5+B7,0))</f>
        <v>75151849.95895287</v>
      </c>
    </row>
    <row r="9" spans="1:2" x14ac:dyDescent="0.25">
      <c r="A9" t="s">
        <v>60</v>
      </c>
      <c r="B9" s="18">
        <f>B8*(1+Assumptions!B12)/(Assumptions!B26-Assumptions!B12)</f>
        <v>1035262230.300321</v>
      </c>
    </row>
    <row r="10" spans="1:2" x14ac:dyDescent="0.25">
      <c r="A10" t="s">
        <v>61</v>
      </c>
      <c r="B10" s="18">
        <f>B9/(1+Assumptions!B26)^(5-0.5*Assumptions!B32)</f>
        <v>675829771.7851902</v>
      </c>
    </row>
    <row r="11" spans="1:2" x14ac:dyDescent="0.25">
      <c r="A11" t="s">
        <v>62</v>
      </c>
      <c r="B11" s="18">
        <f>Forecast!B17+B10</f>
        <v>1271732500.2871137</v>
      </c>
    </row>
    <row r="12" spans="1:2" x14ac:dyDescent="0.25">
      <c r="A12" t="s">
        <v>63</v>
      </c>
      <c r="B12" s="18">
        <f>-Assumptions!B30</f>
        <v>-349702000</v>
      </c>
    </row>
    <row r="13" spans="1:2" x14ac:dyDescent="0.25">
      <c r="A13" t="s">
        <v>64</v>
      </c>
      <c r="B13" s="18">
        <f>B11+B12</f>
        <v>922030500.2871137</v>
      </c>
    </row>
    <row r="14" spans="1:2" x14ac:dyDescent="0.25">
      <c r="A14" s="19" t="s">
        <v>65</v>
      </c>
      <c r="B14" s="24">
        <f>B13/Assumptions!B31</f>
        <v>1.2122731133511622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211475732.67071313</v>
      </c>
    </row>
    <row r="18" spans="1:2" x14ac:dyDescent="0.25">
      <c r="A18" t="s">
        <v>60</v>
      </c>
      <c r="B18" s="18">
        <f>B17*Assumptions!B13</f>
        <v>4229514653.414263</v>
      </c>
    </row>
    <row r="19" spans="1:2" x14ac:dyDescent="0.25">
      <c r="A19" t="s">
        <v>61</v>
      </c>
      <c r="B19" s="18">
        <f>B18/(1+Assumptions!B26)^(5-0.5*Assumptions!B32)</f>
        <v>2761070421.887092</v>
      </c>
    </row>
    <row r="20" spans="1:2" x14ac:dyDescent="0.25">
      <c r="A20" t="s">
        <v>62</v>
      </c>
      <c r="B20" s="18">
        <f>Forecast!B17+B19</f>
        <v>3356973150.389015</v>
      </c>
    </row>
    <row r="21" spans="1:2" x14ac:dyDescent="0.25">
      <c r="A21" t="s">
        <v>63</v>
      </c>
      <c r="B21" s="18">
        <f>-Assumptions!B30</f>
        <v>-349702000</v>
      </c>
    </row>
    <row r="22" spans="1:2" x14ac:dyDescent="0.25">
      <c r="A22" t="s">
        <v>64</v>
      </c>
      <c r="B22" s="18">
        <f>B20+B21</f>
        <v>3007271150.389015</v>
      </c>
    </row>
    <row r="23" spans="1:2" x14ac:dyDescent="0.25">
      <c r="A23" s="19" t="s">
        <v>65</v>
      </c>
      <c r="B23" s="25">
        <f>B22/Assumptions!B31</f>
        <v>3.953919050441388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4.59</v>
      </c>
    </row>
    <row r="27" spans="1:3" x14ac:dyDescent="0.25">
      <c r="A27" t="s">
        <v>70</v>
      </c>
      <c r="B27" s="27">
        <v>1.4042</v>
      </c>
      <c r="C27" s="8" t="s">
        <v>71</v>
      </c>
    </row>
    <row r="28" spans="1:2" x14ac:dyDescent="0.25">
      <c r="A28" t="s">
        <v>72</v>
      </c>
      <c r="B28" s="28">
        <f>B14*B27</f>
        <v>1.7022739057677019</v>
      </c>
    </row>
    <row r="29" spans="1:2" x14ac:dyDescent="0.25">
      <c r="A29" s="19" t="s">
        <v>73</v>
      </c>
      <c r="B29" s="12">
        <f>B28/B26-1</f>
        <v>-0.6291342253229408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0.079407</v>
      </c>
      <c r="B5" s="31">
        <v>1.554803031671772</v>
      </c>
      <c r="C5" s="31">
        <v>1.5606965667247616</v>
      </c>
      <c r="D5" s="31">
        <v>1.5665901017777515</v>
      </c>
      <c r="E5" s="31">
        <v>1.5724836368307413</v>
      </c>
      <c r="F5" s="31">
        <v>1.5783771718837307</v>
      </c>
    </row>
    <row r="6" spans="1:6" x14ac:dyDescent="0.25">
      <c r="A6" s="30">
        <v>0.089407</v>
      </c>
      <c r="B6" s="31">
        <v>1.3601055459840414</v>
      </c>
      <c r="C6" s="31">
        <v>1.3651271324584031</v>
      </c>
      <c r="D6" s="31">
        <v>1.3701487189327648</v>
      </c>
      <c r="E6" s="31">
        <v>1.3751703054071258</v>
      </c>
      <c r="F6" s="31">
        <v>1.3801918918814875</v>
      </c>
    </row>
    <row r="7" spans="1:6" x14ac:dyDescent="0.25">
      <c r="A7" s="30">
        <v>0.099407</v>
      </c>
      <c r="B7" s="31">
        <v>1.2036026123268648</v>
      </c>
      <c r="C7" s="31">
        <v>1.2079371021504692</v>
      </c>
      <c r="D7" s="32">
        <v>1.212271591974074</v>
      </c>
      <c r="E7" s="31">
        <v>1.216606081797679</v>
      </c>
      <c r="F7" s="31">
        <v>1.2209405716212836</v>
      </c>
    </row>
    <row r="8" spans="1:6" x14ac:dyDescent="0.25">
      <c r="A8" s="30">
        <v>0.109407</v>
      </c>
      <c r="B8" s="31">
        <v>1.074871418172365</v>
      </c>
      <c r="C8" s="31">
        <v>1.0786524821642112</v>
      </c>
      <c r="D8" s="31">
        <v>1.082433546156057</v>
      </c>
      <c r="E8" s="31">
        <v>1.0862146101479029</v>
      </c>
      <c r="F8" s="31">
        <v>1.0899956741397487</v>
      </c>
    </row>
    <row r="9" spans="1:6" x14ac:dyDescent="0.25">
      <c r="A9" s="30">
        <v>0.119407</v>
      </c>
      <c r="B9" s="31">
        <v>0.9669776246969485</v>
      </c>
      <c r="C9" s="31">
        <v>0.9703049274970336</v>
      </c>
      <c r="D9" s="31">
        <v>0.9736322302971187</v>
      </c>
      <c r="E9" s="31">
        <v>0.976959533097204</v>
      </c>
      <c r="F9" s="31">
        <v>0.9802868358972887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1305604000</v>
      </c>
      <c r="C5" s="18">
        <v>1314684000</v>
      </c>
      <c r="D5" s="18">
        <v>1245754000</v>
      </c>
      <c r="E5" s="18">
        <v>1243802000</v>
      </c>
      <c r="F5" s="8" t="s">
        <v>84</v>
      </c>
    </row>
    <row r="6" spans="1:6" x14ac:dyDescent="0.25">
      <c r="A6" t="s">
        <v>44</v>
      </c>
      <c r="B6" s="18">
        <v>82112000</v>
      </c>
      <c r="C6" s="18">
        <v>134269000</v>
      </c>
      <c r="D6" s="18">
        <v>137477000</v>
      </c>
      <c r="E6" s="18">
        <v>153129000</v>
      </c>
      <c r="F6" s="8" t="s">
        <v>85</v>
      </c>
    </row>
    <row r="7" spans="1:6" x14ac:dyDescent="0.25">
      <c r="A7" t="s">
        <v>86</v>
      </c>
      <c r="B7" s="18">
        <v>72859000</v>
      </c>
      <c r="C7" s="18">
        <v>69382000</v>
      </c>
      <c r="D7" s="18">
        <v>60049000</v>
      </c>
      <c r="E7" s="18">
        <v>52641000</v>
      </c>
      <c r="F7" s="8" t="s">
        <v>87</v>
      </c>
    </row>
    <row r="8" spans="1:6" x14ac:dyDescent="0.25">
      <c r="A8" t="s">
        <v>88</v>
      </c>
      <c r="B8" s="18">
        <v>19740000</v>
      </c>
      <c r="C8" s="18">
        <v>33477000</v>
      </c>
      <c r="D8" s="18">
        <v>41313000</v>
      </c>
      <c r="E8" s="18">
        <v>42508000</v>
      </c>
      <c r="F8" s="8" t="s">
        <v>89</v>
      </c>
    </row>
    <row r="9" spans="1:6" x14ac:dyDescent="0.25">
      <c r="A9" t="s">
        <v>90</v>
      </c>
      <c r="B9" s="18">
        <v>8952000</v>
      </c>
      <c r="C9" s="18">
        <v>14030000</v>
      </c>
      <c r="D9" s="18">
        <v>-20909000</v>
      </c>
      <c r="E9" s="18">
        <v>0</v>
      </c>
      <c r="F9" s="8" t="s">
        <v>91</v>
      </c>
    </row>
    <row r="10" spans="1:6" x14ac:dyDescent="0.25">
      <c r="A10" t="s">
        <v>92</v>
      </c>
      <c r="B10" s="18">
        <v>378268000</v>
      </c>
      <c r="C10" s="18">
        <v>462562000</v>
      </c>
      <c r="D10" s="18">
        <v>560806000</v>
      </c>
      <c r="E10" s="18">
        <v>557020000</v>
      </c>
      <c r="F10" s="8" t="s">
        <v>93</v>
      </c>
    </row>
    <row r="11" spans="1:6" x14ac:dyDescent="0.25">
      <c r="A11" t="s">
        <v>94</v>
      </c>
      <c r="B11" s="18">
        <v>28566000</v>
      </c>
      <c r="C11" s="18">
        <v>25384000</v>
      </c>
      <c r="D11" s="18">
        <v>19915000</v>
      </c>
      <c r="E11" s="18">
        <v>16617000</v>
      </c>
      <c r="F11" s="8" t="s">
        <v>95</v>
      </c>
    </row>
    <row r="12" spans="1:6" x14ac:dyDescent="0.25">
      <c r="A12" t="s">
        <v>32</v>
      </c>
      <c r="B12" s="34">
        <v>760579848</v>
      </c>
      <c r="C12" s="34">
        <v>781225000</v>
      </c>
      <c r="D12" s="34">
        <v>784620750</v>
      </c>
      <c r="E12" s="34">
        <v>788983051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8" ht="38" customHeight="1" spans="1:6" x14ac:dyDescent="0.25">
      <c r="A18" s="35" t="s">
        <v>100</v>
      </c>
      <c r="B18" s="35"/>
      <c r="C18" s="35"/>
      <c r="D18" s="35"/>
      <c r="E18" s="35"/>
      <c r="F18" s="35"/>
    </row>
    <row r="20" spans="1:1" x14ac:dyDescent="0.25">
      <c r="A20" s="36" t="s">
        <v>101</v>
      </c>
    </row>
  </sheetData>
  <mergeCells count="3">
    <mergeCell ref="A16:F16"/>
    <mergeCell ref="A17:F17"/>
    <mergeCell ref="A18:F1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2026-09-19T00:06:31Z</dcterms:modified>
</cp:coreProperties>
</file>