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<sst xmlns="http://schemas.openxmlformats.org/spreadsheetml/2006/main" count="114" uniqueCount="102">
  <si>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RWE Aktiengesellschaft (RWE.DE)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</si>
  <si>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</si>
  <si>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</si>
  <si>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</si>
  <si>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</si>
  <si>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</si>
  <si>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</si>
  <si>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</si>
  <si>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</si>
  <si>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</si>
  <si>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</si>
  <si>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</si>
  <si>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</si>
  <si>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</si>
  <si>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</si>
  <si>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</si>
  <si>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</si>
  <si>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</si>
  <si>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</si>
  <si>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</si>
  <si>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</si>
  <si>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</si>
  <si>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</si>
  <si>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</si>
  <si>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</si>
  <si>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</si>
  <si>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</si>
  <si>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</si>
  <si>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</si>
  <si>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</si>
  <si>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</si>
  <si>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</si>
  <si>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</si>
  <si>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</si>
  <si>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</si>
  <si>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</si>
  <si>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</si>
  <si>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</si>
  <si>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</si>
  <si>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</si>
  <si>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</si>
  <si>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</si>
  <si>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</si>
  <si>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</si>
  <si>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</si>
  <si>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</si>
  <si>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</si>
  <si>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</si>
  <si>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</si>
  <si>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</si>
  <si>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</si>
  <si>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</si>
  <si>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</si>
  <si>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</si>
  <si>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</si>
  <si>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</si>
  <si>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</si>
  <si>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</si>
  <si>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</si>
  <si>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</si>
  <si>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</si>
  <si>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</si>
  <si>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</si>
  <si>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</si>
  <si>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</si>
  <si>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</si>
  <si>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</si>
  <si>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</si>
  <si>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</si>
  <si>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</si>
  <si>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</si>
  <si>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</si>
  <si>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</si>
  <si>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</si>
  <si>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</si>
  <si>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</si>
  <si>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</si>
  <si>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</si>
  <si>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</si>
  <si>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</si>
  <si>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</si>
  <si>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</si>
  <si>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</si>
  <si>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</si>
  <si>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</si>
  <si>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</si>
  <si>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</si>
  <si>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</si>
  <si>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</si>
  <si>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</si>
  <si>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</si>
  <si>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</si>
  <si>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</si>
  <si>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</si>
  <si>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</si>
  <si>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</si>
  <si>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</si>
  <si>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</si>
  <si>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</si>
  <si>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31.3% of revenue against depreciation of 10.5%.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</si>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</sst>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-0.2286809314834337</v>
      </c>
    </row>
    <row r="7" spans="1:2" x14ac:dyDescent="0.25">
      <c r="A7" t="s">
        <v>5</v>
      </c>
      <c r="B7" s="6">
        <v>0.10806154195024248</v>
      </c>
    </row>
    <row r="8" spans="1:2" x14ac:dyDescent="0.25">
      <c r="A8" t="s">
        <v>6</v>
      </c>
      <c r="B8" s="6">
        <v>0.16616742866151663</v>
      </c>
    </row>
    <row r="9" spans="1:2" x14ac:dyDescent="0.25">
      <c r="A9" t="s">
        <v>7</v>
      </c>
      <c r="B9" s="6">
        <v>0.10487975397294408</v>
      </c>
    </row>
    <row r="10" spans="1:2" x14ac:dyDescent="0.25">
      <c r="A10" t="s">
        <v>8</v>
      </c>
      <c r="B10" s="6">
        <v>0.3130806639249847</v>
      </c>
    </row>
    <row r="11" spans="1:2" x14ac:dyDescent="0.25">
      <c r="A11" t="s">
        <v>9</v>
      </c>
      <c r="B11" s="6">
        <v>-0.017889630078835657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12.421100659168705</v>
      </c>
    </row>
    <row r="14" spans="1:3" x14ac:dyDescent="0.25">
      <c r="A14" t="s">
        <v>12</v>
      </c>
      <c r="B14" s="6">
        <v>0.08583626602308128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0.7132399999999999</v>
      </c>
      <c r="C19" s="8" t="s">
        <v>19</v>
      </c>
    </row>
    <row r="20" spans="1:2" x14ac:dyDescent="0.25">
      <c r="A20" t="s">
        <v>20</v>
      </c>
      <c r="B20" s="10">
        <f>B17+B19*B18</f>
        <v>0.06879439999999999</v>
      </c>
    </row>
    <row r="21" spans="1:3" x14ac:dyDescent="0.25">
      <c r="A21" t="s">
        <v>21</v>
      </c>
      <c r="B21" s="6">
        <v>0.03603768407573402</v>
      </c>
      <c r="C21" s="8" t="s">
        <v>22</v>
      </c>
    </row>
    <row r="22" spans="1:2" x14ac:dyDescent="0.25">
      <c r="A22" t="s">
        <v>23</v>
      </c>
      <c r="B22" s="11">
        <v>47142301696</v>
      </c>
    </row>
    <row r="23" spans="1:2" x14ac:dyDescent="0.25">
      <c r="A23" t="s">
        <v>24</v>
      </c>
      <c r="B23" s="11">
        <v>17009000000</v>
      </c>
    </row>
    <row r="24" spans="1:2" x14ac:dyDescent="0.25">
      <c r="A24" t="s">
        <v>25</v>
      </c>
      <c r="B24" s="10">
        <f>B22/(B22+B23)</f>
        <v>0.734861186751873</v>
      </c>
    </row>
    <row r="25" spans="1:2" x14ac:dyDescent="0.25">
      <c r="A25" t="s">
        <v>26</v>
      </c>
      <c r="B25" s="10">
        <f>1-B24</f>
        <v>0.26513881324812705</v>
      </c>
    </row>
    <row r="26" spans="1:2" x14ac:dyDescent="0.25">
      <c r="A26" t="s">
        <v>27</v>
      </c>
      <c r="B26" s="12">
        <f>B24*B20+B25*B21*(1-B8)</f>
        <v>0.05852159529613402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17628000000</v>
      </c>
      <c r="C29" s="8" t="s">
        <v>30</v>
      </c>
    </row>
    <row r="30" spans="1:2" x14ac:dyDescent="0.25">
      <c r="A30" t="s">
        <v>31</v>
      </c>
      <c r="B30" s="11">
        <v>3660000000</v>
      </c>
    </row>
    <row r="31" spans="1:2" x14ac:dyDescent="0.25">
      <c r="A31" t="s">
        <v>32</v>
      </c>
      <c r="B31" s="13">
        <v>727647000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-0.2286809314834337</v>
      </c>
      <c r="C5" s="10">
        <f>Assumptions!B6</f>
        <v>-0.2286809314834337</v>
      </c>
      <c r="D5" s="10">
        <f>Assumptions!B6</f>
        <v>-0.2286809314834337</v>
      </c>
      <c r="E5" s="10">
        <f>Assumptions!B6</f>
        <v>-0.2286809314834337</v>
      </c>
      <c r="F5" s="10">
        <f>Assumptions!B6</f>
        <v>-0.2286809314834337</v>
      </c>
    </row>
    <row r="6" spans="1:6" x14ac:dyDescent="0.25">
      <c r="A6" t="s">
        <v>43</v>
      </c>
      <c r="B6" s="18">
        <f>Assumptions!B29*(1+B5)</f>
        <v>13596812539.81003</v>
      </c>
      <c r="C6" s="18">
        <f>B6*(1+C5)</f>
        <v>10487480783.00064</v>
      </c>
      <c r="D6" s="18">
        <f>C6*(1+D5)</f>
        <v>8089193908.629443</v>
      </c>
      <c r="E6" s="18">
        <f>D6*(1+E5)</f>
        <v>6239349510.653944</v>
      </c>
      <c r="F6" s="18">
        <f>E6*(1+F5)</f>
        <v>4812529252.706894</v>
      </c>
    </row>
    <row r="7" spans="1:6" x14ac:dyDescent="0.25">
      <c r="A7" t="s">
        <v>5</v>
      </c>
      <c r="B7" s="10">
        <f>Assumptions!B7</f>
        <v>0.10806154195024248</v>
      </c>
      <c r="C7" s="10">
        <f>Assumptions!B7</f>
        <v>0.10806154195024248</v>
      </c>
      <c r="D7" s="10">
        <f>Assumptions!B7</f>
        <v>0.10806154195024248</v>
      </c>
      <c r="E7" s="10">
        <f>Assumptions!B7</f>
        <v>0.10806154195024248</v>
      </c>
      <c r="F7" s="10">
        <f>Assumptions!B7</f>
        <v>0.10806154195024248</v>
      </c>
    </row>
    <row r="8" spans="1:6" x14ac:dyDescent="0.25">
      <c r="A8" t="s">
        <v>44</v>
      </c>
      <c r="B8" s="18">
        <f>B6*B7</f>
        <v>1469292528.6602645</v>
      </c>
      <c r="C8" s="18">
        <f>C6*C7</f>
        <v>1133293344.5845857</v>
      </c>
      <c r="D8" s="18">
        <f>D6*D7</f>
        <v>874130766.9010065</v>
      </c>
      <c r="E8" s="18">
        <f>E6*E7</f>
        <v>674233728.8877561</v>
      </c>
      <c r="F8" s="18">
        <f>F6*F7</f>
        <v>520049331.7281551</v>
      </c>
    </row>
    <row r="9" spans="1:6" x14ac:dyDescent="0.25">
      <c r="A9" t="s">
        <v>45</v>
      </c>
      <c r="B9" s="18">
        <f>B8*(1-Assumptions!B8)</f>
        <v>1225143967.2212105</v>
      </c>
      <c r="C9" s="18">
        <f>C8*(1-Assumptions!B8)</f>
        <v>944976903.5957549</v>
      </c>
      <c r="D9" s="18">
        <f>D8*(1-Assumptions!B8)</f>
        <v>728878705.0511466</v>
      </c>
      <c r="E9" s="18">
        <f>E8*(1-Assumptions!B8)</f>
        <v>562198043.8416115</v>
      </c>
      <c r="F9" s="18">
        <f>F8*(1-Assumptions!B8)</f>
        <v>433634071.4977474</v>
      </c>
    </row>
    <row r="10" spans="1:6" x14ac:dyDescent="0.25">
      <c r="A10" t="s">
        <v>46</v>
      </c>
      <c r="B10" s="18">
        <f>B6*Assumptions!B9</f>
        <v>1426030353.9915168</v>
      </c>
      <c r="C10" s="18">
        <f>C6*Assumptions!B9</f>
        <v>1099924404.3170862</v>
      </c>
      <c r="D10" s="18">
        <f>D6*Assumptions!B9</f>
        <v>848392666.9764938</v>
      </c>
      <c r="E10" s="18">
        <f>E6*Assumptions!B9</f>
        <v>654381441.6285946</v>
      </c>
      <c r="F10" s="18">
        <f>F6*Assumptions!B9</f>
        <v>504736884.0114955</v>
      </c>
    </row>
    <row r="11" spans="1:6" x14ac:dyDescent="0.25">
      <c r="A11" t="s">
        <v>47</v>
      </c>
      <c r="B11" s="18">
        <f>-B6*Assumptions!B10</f>
        <v>-4256899097.2272816</v>
      </c>
      <c r="C11" s="18">
        <f>-C6*Assumptions!B10</f>
        <v>-3283427446.442359</v>
      </c>
      <c r="D11" s="18">
        <f>-D6*Assumptions!B10</f>
        <v>-2532570199.531648</v>
      </c>
      <c r="E11" s="18">
        <f>-E6*Assumptions!B10</f>
        <v>-1953419687.2555652</v>
      </c>
      <c r="F11" s="18">
        <f>-F6*Assumptions!B10</f>
        <v>-1506709853.5958848</v>
      </c>
    </row>
    <row r="12" spans="1:6" x14ac:dyDescent="0.25">
      <c r="A12" t="s">
        <v>48</v>
      </c>
      <c r="B12" s="18">
        <f>-(B6-Assumptions!B29)*Assumptions!B11</f>
        <v>-72116452.44123961</v>
      </c>
      <c r="C12" s="18">
        <f>-(C6-B6)*Assumptions!B11</f>
        <v>-55624794.92169616</v>
      </c>
      <c r="D12" s="18">
        <f>-(D6-C6)*Assumptions!B11</f>
        <v>-42904465.00542773</v>
      </c>
      <c r="E12" s="18">
        <f>-(E6-D6)*Assumptions!B11</f>
        <v>-33093031.983188126</v>
      </c>
      <c r="F12" s="18">
        <f>-(F6-E6)*Assumptions!B11</f>
        <v>-25525286.603661597</v>
      </c>
    </row>
    <row r="13" spans="1:6" x14ac:dyDescent="0.25">
      <c r="A13" s="19" t="s">
        <v>49</v>
      </c>
      <c r="B13" s="20">
        <f>B9+B10+B11+B12</f>
        <v>-1677841228.4557936</v>
      </c>
      <c r="C13" s="20">
        <f>C9+C10+C11+C12</f>
        <v>-1294150933.451214</v>
      </c>
      <c r="D13" s="20">
        <f>D9+D10+D11+D12</f>
        <v>-998203292.5094355</v>
      </c>
      <c r="E13" s="20">
        <f>E9+E10+E11+E12</f>
        <v>-769933233.768547</v>
      </c>
      <c r="F13" s="20">
        <f>F9+F10+F11+F12</f>
        <v>-593864184.6903036</v>
      </c>
    </row>
    <row r="14" spans="1:6" x14ac:dyDescent="0.25">
      <c r="A14" t="s">
        <v>50</v>
      </c>
      <c r="B14" s="21">
        <f>1/(1+Assumptions!$B$26)^(1-0.5*Assumptions!$B$32)</f>
        <v>0.9719639083016336</v>
      </c>
      <c r="C14" s="21">
        <f>1/(1+Assumptions!$B$26)^(2-0.5*Assumptions!$B$32)</f>
        <v>0.9182277552209175</v>
      </c>
      <c r="D14" s="21">
        <f>1/(1+Assumptions!$B$26)^(3-0.5*Assumptions!$B$32)</f>
        <v>0.86746246774874</v>
      </c>
      <c r="E14" s="21">
        <f>1/(1+Assumptions!$B$26)^(4-0.5*Assumptions!$B$32)</f>
        <v>0.8195037981308799</v>
      </c>
      <c r="F14" s="21">
        <f>1/(1+Assumptions!$B$26)^(5-0.5*Assumptions!$B$32)</f>
        <v>0.7741965792408931</v>
      </c>
    </row>
    <row r="15" spans="1:6" x14ac:dyDescent="0.25">
      <c r="A15" s="19" t="s">
        <v>51</v>
      </c>
      <c r="B15" s="20">
        <f>B13*B14</f>
        <v>-1630801117.9195073</v>
      </c>
      <c r="C15" s="20">
        <f>C13*C14</f>
        <v>-1188325306.5399632</v>
      </c>
      <c r="D15" s="20">
        <f>D13*D14</f>
        <v>-865903891.4351523</v>
      </c>
      <c r="E15" s="20">
        <f>E13*E14</f>
        <v>-630963209.380515</v>
      </c>
      <c r="F15" s="20">
        <f>F13*F14</f>
        <v>-459767620.320915</v>
      </c>
    </row>
    <row r="17" spans="1:2" x14ac:dyDescent="0.25">
      <c r="A17" s="22" t="s">
        <v>52</v>
      </c>
      <c r="B17" s="23">
        <f>SUM(B15:F15)</f>
        <v>-4775761145.596053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-593864184.6903036</v>
      </c>
    </row>
    <row r="5" spans="1:2" x14ac:dyDescent="0.25">
      <c r="A5" t="s">
        <v>56</v>
      </c>
      <c r="B5" s="18">
        <f>IF(Assumptions!$B$33=0,B4,B4-Forecast!F11-Forecast!F10-Forecast!F12)</f>
        <v>433634071.4977474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0.2912521846334454</v>
      </c>
    </row>
    <row r="7" spans="1:2" x14ac:dyDescent="0.25">
      <c r="A7" t="s">
        <v>58</v>
      </c>
      <c r="B7" s="18">
        <f>-MAX(Forecast!F9,0)*B6</f>
        <v>-126296870.65521458</v>
      </c>
    </row>
    <row r="8" spans="1:2" x14ac:dyDescent="0.25">
      <c r="A8" t="s">
        <v>59</v>
      </c>
      <c r="B8" s="18">
        <f>IF(OR(Assumptions!$B$33=0,Assumptions!B12&lt;=0),B5,MAX(B5+B7,0))</f>
        <v>307337200.8425329</v>
      </c>
    </row>
    <row r="9" spans="1:2" x14ac:dyDescent="0.25">
      <c r="A9" t="s">
        <v>60</v>
      </c>
      <c r="B9" s="18">
        <f>B8*(1+Assumptions!B12)/(Assumptions!B26-Assumptions!B12)</f>
        <v>9397542929.585062</v>
      </c>
    </row>
    <row r="10" spans="1:2" x14ac:dyDescent="0.25">
      <c r="A10" t="s">
        <v>61</v>
      </c>
      <c r="B10" s="18">
        <f>B9/(1+Assumptions!B26)^(5-0.5*Assumptions!B32)</f>
        <v>7275545589.354197</v>
      </c>
    </row>
    <row r="11" spans="1:2" x14ac:dyDescent="0.25">
      <c r="A11" t="s">
        <v>62</v>
      </c>
      <c r="B11" s="18">
        <f>Forecast!B17+B10</f>
        <v>2499784443.7581434</v>
      </c>
    </row>
    <row r="12" spans="1:2" x14ac:dyDescent="0.25">
      <c r="A12" t="s">
        <v>63</v>
      </c>
      <c r="B12" s="18">
        <f>-Assumptions!B30</f>
        <v>-3660000000</v>
      </c>
    </row>
    <row r="13" spans="1:2" x14ac:dyDescent="0.25">
      <c r="A13" t="s">
        <v>64</v>
      </c>
      <c r="B13" s="18">
        <f>B11+B12</f>
        <v>-1160215556.2418566</v>
      </c>
    </row>
    <row r="14" spans="1:2" x14ac:dyDescent="0.25">
      <c r="A14" s="19" t="s">
        <v>65</v>
      </c>
      <c r="B14" s="24">
        <f>B13/Assumptions!B31</f>
        <v>-1.5944758327071458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1024786215.7396505</v>
      </c>
    </row>
    <row r="18" spans="1:2" x14ac:dyDescent="0.25">
      <c r="A18" t="s">
        <v>60</v>
      </c>
      <c r="B18" s="18">
        <f>B17*Assumptions!B13</f>
        <v>12728972739.830774</v>
      </c>
    </row>
    <row r="19" spans="1:2" x14ac:dyDescent="0.25">
      <c r="A19" t="s">
        <v>61</v>
      </c>
      <c r="B19" s="18">
        <f>B18/(1+Assumptions!B26)^(5-0.5*Assumptions!B32)</f>
        <v>9854727152.427565</v>
      </c>
    </row>
    <row r="20" spans="1:2" x14ac:dyDescent="0.25">
      <c r="A20" t="s">
        <v>62</v>
      </c>
      <c r="B20" s="18">
        <f>Forecast!B17+B19</f>
        <v>5078966006.8315115</v>
      </c>
    </row>
    <row r="21" spans="1:2" x14ac:dyDescent="0.25">
      <c r="A21" t="s">
        <v>63</v>
      </c>
      <c r="B21" s="18">
        <f>-Assumptions!B30</f>
        <v>-3660000000</v>
      </c>
    </row>
    <row r="22" spans="1:2" x14ac:dyDescent="0.25">
      <c r="A22" t="s">
        <v>64</v>
      </c>
      <c r="B22" s="18">
        <f>B20+B21</f>
        <v>1418966006.8315115</v>
      </c>
    </row>
    <row r="23" spans="1:2" x14ac:dyDescent="0.25">
      <c r="A23" s="19" t="s">
        <v>65</v>
      </c>
      <c r="B23" s="25">
        <f>B22/Assumptions!B31</f>
        <v>1.9500747021997087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60.44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-1.5944758327071458</v>
      </c>
    </row>
    <row r="29" spans="1:2" x14ac:dyDescent="0.25">
      <c r="A29" s="19" t="s">
        <v>73</v>
      </c>
      <c r="B29" s="12">
        <f>B28/B26-1</f>
        <v>-1.026381135551078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0.038522</v>
      </c>
      <c r="B5" s="31">
        <v>6.065587422425396</v>
      </c>
      <c r="C5" s="31">
        <v>9.397630368556936</v>
      </c>
      <c r="D5" s="31">
        <v>15.172181000603715</v>
      </c>
      <c r="E5" s="31">
        <v>27.688419709169928</v>
      </c>
      <c r="F5" s="31">
        <v>75.65881700754116</v>
      </c>
    </row>
    <row r="6" spans="1:6" x14ac:dyDescent="0.25">
      <c r="A6" s="30">
        <v>0.048522</v>
      </c>
      <c r="B6" s="31">
        <v>0.3189117186410989</v>
      </c>
      <c r="C6" s="31">
        <v>1.494704844699252</v>
      </c>
      <c r="D6" s="31">
        <v>3.158443325189085</v>
      </c>
      <c r="E6" s="31">
        <v>5.705288606848273</v>
      </c>
      <c r="F6" s="31">
        <v>10.114874029237567</v>
      </c>
    </row>
    <row r="7" spans="1:6" x14ac:dyDescent="0.25">
      <c r="A7" s="30">
        <v>0.058522</v>
      </c>
      <c r="B7" s="31">
        <v>-2.7135639856710476</v>
      </c>
      <c r="C7" s="31">
        <v>-2.2232161130148382</v>
      </c>
      <c r="D7" s="32">
        <v>-1.5946089977268523</v>
      </c>
      <c r="E7" s="31">
        <v>-0.7550307458488545</v>
      </c>
      <c r="F7" s="31">
        <v>0.4300551211860386</v>
      </c>
    </row>
    <row r="8" spans="1:6" x14ac:dyDescent="0.25">
      <c r="A8" s="30">
        <v>0.068522</v>
      </c>
      <c r="B8" s="31">
        <v>-4.55649308998052</v>
      </c>
      <c r="C8" s="31">
        <v>-4.347207332330824</v>
      </c>
      <c r="D8" s="31">
        <v>-4.095753485934725</v>
      </c>
      <c r="E8" s="31">
        <v>-3.7857118080167567</v>
      </c>
      <c r="F8" s="31">
        <v>-3.39086615774917</v>
      </c>
    </row>
    <row r="9" spans="1:6" x14ac:dyDescent="0.25">
      <c r="A9" s="30">
        <v>0.078522</v>
      </c>
      <c r="B9" s="31">
        <v>-5.774267851320141</v>
      </c>
      <c r="C9" s="31">
        <v>-5.69713991363349</v>
      </c>
      <c r="D9" s="31">
        <v>-5.610217179662008</v>
      </c>
      <c r="E9" s="31">
        <v>-5.510471704467881</v>
      </c>
      <c r="F9" s="31">
        <v>-5.3934840882455015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17628000000</v>
      </c>
      <c r="C5" s="18">
        <v>24224000000</v>
      </c>
      <c r="D5" s="18">
        <v>28521000000</v>
      </c>
      <c r="E5" s="18">
        <v>38415000000</v>
      </c>
      <c r="F5" s="8" t="s">
        <v>84</v>
      </c>
    </row>
    <row r="6" spans="1:6" x14ac:dyDescent="0.25">
      <c r="A6" t="s">
        <v>44</v>
      </c>
      <c r="B6" s="18">
        <v>1330000000</v>
      </c>
      <c r="C6" s="18">
        <v>5015000000</v>
      </c>
      <c r="D6" s="18">
        <v>4507000000</v>
      </c>
      <c r="E6" s="18">
        <v>-317000000</v>
      </c>
      <c r="F6" s="8" t="s">
        <v>85</v>
      </c>
    </row>
    <row r="7" spans="1:6" x14ac:dyDescent="0.25">
      <c r="A7" t="s">
        <v>86</v>
      </c>
      <c r="B7" s="18">
        <v>2760000000</v>
      </c>
      <c r="C7" s="18">
        <v>3195000000</v>
      </c>
      <c r="D7" s="18">
        <v>3821000000</v>
      </c>
      <c r="E7" s="18">
        <v>-112000000</v>
      </c>
      <c r="F7" s="8" t="s">
        <v>87</v>
      </c>
    </row>
    <row r="8" spans="1:6" x14ac:dyDescent="0.25">
      <c r="A8" t="s">
        <v>88</v>
      </c>
      <c r="B8" s="18">
        <v>10014000000</v>
      </c>
      <c r="C8" s="18">
        <v>9377000000</v>
      </c>
      <c r="D8" s="18">
        <v>5146000000</v>
      </c>
      <c r="E8" s="18">
        <v>4484000000</v>
      </c>
      <c r="F8" s="8" t="s">
        <v>89</v>
      </c>
    </row>
    <row r="9" spans="1:6" x14ac:dyDescent="0.25">
      <c r="A9" t="s">
        <v>90</v>
      </c>
      <c r="B9" s="18">
        <v>721000000</v>
      </c>
      <c r="C9" s="18">
        <v>-1369000000</v>
      </c>
      <c r="D9" s="18">
        <v>177000000</v>
      </c>
      <c r="E9" s="18">
        <v>3265000000</v>
      </c>
      <c r="F9" s="8" t="s">
        <v>91</v>
      </c>
    </row>
    <row r="10" spans="1:6" x14ac:dyDescent="0.25">
      <c r="A10" t="s">
        <v>92</v>
      </c>
      <c r="B10" s="18">
        <v>17009000000</v>
      </c>
      <c r="C10" s="18">
        <v>15790000000</v>
      </c>
      <c r="D10" s="18">
        <v>13662000000</v>
      </c>
      <c r="E10" s="18">
        <v>15621000000</v>
      </c>
      <c r="F10" s="8" t="s">
        <v>93</v>
      </c>
    </row>
    <row r="11" spans="1:6" x14ac:dyDescent="0.25">
      <c r="A11" t="s">
        <v>94</v>
      </c>
      <c r="B11" s="18">
        <v>13349000000</v>
      </c>
      <c r="C11" s="18">
        <v>11941000000</v>
      </c>
      <c r="D11" s="18">
        <v>14641000000</v>
      </c>
      <c r="E11" s="18">
        <v>20456000000</v>
      </c>
      <c r="F11" s="8" t="s">
        <v>95</v>
      </c>
    </row>
    <row r="12" spans="1:6" x14ac:dyDescent="0.25">
      <c r="A12" t="s">
        <v>32</v>
      </c>
      <c r="B12" s="34">
        <v>727647000</v>
      </c>
      <c r="C12" s="34">
        <v>743554000</v>
      </c>
      <c r="D12" s="34">
        <v>743841000</v>
      </c>
      <c r="E12" s="34">
        <v>691247000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