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<sst xmlns="http://schemas.openxmlformats.org/spreadsheetml/2006/main" count="114" uniqueCount="102">
  <si>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Royal Bank of Canada (RY.TO)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</si>
  <si>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</si>
  <si>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</si>
  <si>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</si>
  <si>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</si>
  <si>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</si>
  <si>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</si>
  <si>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</si>
  <si>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</si>
  <si>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</si>
  <si>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</si>
  <si>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</si>
  <si>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</si>
  <si>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</si>
  <si>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</si>
  <si>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</si>
  <si>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</si>
  <si>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</si>
  <si>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</si>
  <si>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</si>
  <si>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</si>
  <si>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</si>
  <si>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14.0% is not a credible funding cost, so risk-free + 2bp is assumed instead. Interest expense and reported debt are measuring different things - common for banks, whose interest expense includes deposits that total debt excludes.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</si>
  <si>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</si>
  <si>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</si>
  <si>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</si>
  <si>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</si>
  <si>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</si>
  <si>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</si>
  <si>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</si>
  <si>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2025-10-31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</si>
  <si>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</si>
  <si>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</si>
  <si>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</si>
  <si>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</si>
  <si>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</si>
  <si>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</si>
  <si>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</si>
  <si>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</si>
  <si>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</si>
  <si>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</si>
  <si>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</si>
  <si>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</si>
  <si>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</si>
  <si>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</si>
  <si>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</si>
  <si>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</si>
  <si>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</si>
  <si>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</si>
  <si>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</si>
  <si>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</si>
  <si>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</si>
  <si>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</si>
  <si>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</si>
  <si>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</si>
  <si>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</si>
  <si>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</si>
  <si>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</si>
  <si>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</si>
  <si>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</si>
  <si>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</si>
  <si>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</si>
  <si>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</si>
  <si>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</si>
  <si>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</si>
  <si>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</si>
  <si>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</si>
  <si>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</si>
  <si>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</si>
  <si>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</si>
  <si>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</si>
  <si>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</si>
  <si>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</si>
  <si>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</si>
  <si>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</si>
  <si>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</si>
  <si>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</si>
  <si>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</si>
  <si>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</si>
  <si>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</si>
  <si>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</si>
  <si>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</si>
  <si>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</si>
  <si>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</si>
  <si>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</si>
  <si>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</si>
  <si>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</si>
  <si>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</si>
  <si>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</si>
  <si>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</si>
  <si>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</si>
  <si>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</si>
  <si>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</si>
  <si>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</si>
  <si>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</si>
  <si>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</si>
  <si>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</si>
  <si>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</si>
  <si>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</si>
  <si>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CAD assumption - no free live source available for this market.</t>
  </si>
  <si>
    <t>Current EV/EBITDA of 29.7x sits outside a defensible 3-20x band, so the exit multiple is capped at 20.0x. A multiple that far out usually means EBITDA is the wrong denominator for this business.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</si>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</sst>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0.10903290944018074</v>
      </c>
    </row>
    <row r="7" spans="1:2" x14ac:dyDescent="0.25">
      <c r="A7" t="s">
        <v>5</v>
      </c>
      <c r="B7" s="6">
        <v>0.3739375090283999</v>
      </c>
    </row>
    <row r="8" spans="1:2" x14ac:dyDescent="0.25">
      <c r="A8" t="s">
        <v>6</v>
      </c>
      <c r="B8" s="6">
        <v>0.2011550662212297</v>
      </c>
    </row>
    <row r="9" spans="1:2" x14ac:dyDescent="0.25">
      <c r="A9" t="s">
        <v>7</v>
      </c>
      <c r="B9" s="6">
        <v>0.051955479967321035</v>
      </c>
    </row>
    <row r="10" spans="1:2" x14ac:dyDescent="0.25">
      <c r="A10" t="s">
        <v>8</v>
      </c>
      <c r="B10" s="6">
        <v>0.04438586359088834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0.06017016869922099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0.94305</v>
      </c>
      <c r="C19" s="8" t="s">
        <v>19</v>
      </c>
    </row>
    <row r="20" spans="1:2" x14ac:dyDescent="0.25">
      <c r="A20" t="s">
        <v>20</v>
      </c>
      <c r="B20" s="10">
        <f>B17+B19*B18</f>
        <v>0.08486775</v>
      </c>
    </row>
    <row r="21" spans="1:3" x14ac:dyDescent="0.25">
      <c r="A21" t="s">
        <v>21</v>
      </c>
      <c r="B21" s="6">
        <v>0.053000000000000005</v>
      </c>
      <c r="C21" s="8" t="s">
        <v>22</v>
      </c>
    </row>
    <row r="22" spans="1:2" x14ac:dyDescent="0.25">
      <c r="A22" t="s">
        <v>23</v>
      </c>
      <c r="B22" s="11">
        <v>393801072640</v>
      </c>
    </row>
    <row r="23" spans="1:2" x14ac:dyDescent="0.25">
      <c r="A23" t="s">
        <v>24</v>
      </c>
      <c r="B23" s="11">
        <v>545439000000</v>
      </c>
    </row>
    <row r="24" spans="1:2" x14ac:dyDescent="0.25">
      <c r="A24" t="s">
        <v>25</v>
      </c>
      <c r="B24" s="10">
        <f>B22/(B22+B23)</f>
        <v>0.41927626824216585</v>
      </c>
    </row>
    <row r="25" spans="1:2" x14ac:dyDescent="0.25">
      <c r="A25" t="s">
        <v>26</v>
      </c>
      <c r="B25" s="10">
        <f>1-B24</f>
        <v>0.5807237317578342</v>
      </c>
    </row>
    <row r="26" spans="1:2" x14ac:dyDescent="0.25">
      <c r="A26" t="s">
        <v>27</v>
      </c>
      <c r="B26" s="12">
        <f>B24*B20+B25*B21*(1-B8)</f>
        <v>0.06017016869922099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66532000000</v>
      </c>
      <c r="C29" s="8" t="s">
        <v>30</v>
      </c>
    </row>
    <row r="30" spans="1:2" x14ac:dyDescent="0.25">
      <c r="A30" t="s">
        <v>31</v>
      </c>
      <c r="B30" s="11">
        <v>458051000000</v>
      </c>
    </row>
    <row r="31" spans="1:2" x14ac:dyDescent="0.25">
      <c r="A31" t="s">
        <v>32</v>
      </c>
      <c r="B31" s="13">
        <v>1411589000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0.10903290944018074</v>
      </c>
      <c r="C5" s="10">
        <f>Assumptions!B6</f>
        <v>0.10903290944018074</v>
      </c>
      <c r="D5" s="10">
        <f>Assumptions!B6</f>
        <v>0.10903290944018074</v>
      </c>
      <c r="E5" s="10">
        <f>Assumptions!B6</f>
        <v>0.10903290944018074</v>
      </c>
      <c r="F5" s="10">
        <f>Assumptions!B6</f>
        <v>0.10903290944018074</v>
      </c>
    </row>
    <row r="6" spans="1:6" x14ac:dyDescent="0.25">
      <c r="A6" t="s">
        <v>43</v>
      </c>
      <c r="B6" s="18">
        <f>Assumptions!B29*(1+B5)</f>
        <v>73786177530.8741</v>
      </c>
      <c r="C6" s="18">
        <f>B6*(1+C5)</f>
        <v>81831299143.53499</v>
      </c>
      <c r="D6" s="18">
        <f>C6*(1+D5)</f>
        <v>90753603772.42438</v>
      </c>
      <c r="E6" s="18">
        <f>D6*(1+E5)</f>
        <v>100648733233.91316</v>
      </c>
      <c r="F6" s="18">
        <f>E6*(1+F5)</f>
        <v>111622757449.87532</v>
      </c>
    </row>
    <row r="7" spans="1:6" x14ac:dyDescent="0.25">
      <c r="A7" t="s">
        <v>5</v>
      </c>
      <c r="B7" s="10">
        <f>Assumptions!B7</f>
        <v>0.3739375090283999</v>
      </c>
      <c r="C7" s="10">
        <f>Assumptions!B7</f>
        <v>0.3739375090283999</v>
      </c>
      <c r="D7" s="10">
        <f>Assumptions!B7</f>
        <v>0.3739375090283999</v>
      </c>
      <c r="E7" s="10">
        <f>Assumptions!B7</f>
        <v>0.3739375090283999</v>
      </c>
      <c r="F7" s="10">
        <f>Assumptions!B7</f>
        <v>0.3739375090283999</v>
      </c>
    </row>
    <row r="8" spans="1:6" x14ac:dyDescent="0.25">
      <c r="A8" t="s">
        <v>44</v>
      </c>
      <c r="B8" s="18">
        <f>B6*B7</f>
        <v>27591419426.622353</v>
      </c>
      <c r="C8" s="18">
        <f>C6*C7</f>
        <v>30599792162.291306</v>
      </c>
      <c r="D8" s="18">
        <f>D6*D7</f>
        <v>33936176530.01077</v>
      </c>
      <c r="E8" s="18">
        <f>E6*E7</f>
        <v>37636336592.35342</v>
      </c>
      <c r="F8" s="18">
        <f>F6*F7</f>
        <v>41739935871.687645</v>
      </c>
    </row>
    <row r="9" spans="1:6" x14ac:dyDescent="0.25">
      <c r="A9" t="s">
        <v>45</v>
      </c>
      <c r="B9" s="18">
        <f>B8*(1-Assumptions!B8)</f>
        <v>22041265624.72241</v>
      </c>
      <c r="C9" s="18">
        <f>C8*(1-Assumptions!B8)</f>
        <v>24444488943.52973</v>
      </c>
      <c r="D9" s="18">
        <f>D8*(1-Assumptions!B8)</f>
        <v>27109742692.821114</v>
      </c>
      <c r="E9" s="18">
        <f>E8*(1-Assumptions!B8)</f>
        <v>30065596812.794075</v>
      </c>
      <c r="F9" s="18">
        <f>F8*(1-Assumptions!B8)</f>
        <v>33343736307.348434</v>
      </c>
    </row>
    <row r="10" spans="1:6" x14ac:dyDescent="0.25">
      <c r="A10" t="s">
        <v>46</v>
      </c>
      <c r="B10" s="18">
        <f>B6*Assumptions!B9</f>
        <v>3833596268.570523</v>
      </c>
      <c r="C10" s="18">
        <f>C6*Assumptions!B9</f>
        <v>4251584423.351787</v>
      </c>
      <c r="D10" s="18">
        <f>D6*Assumptions!B9</f>
        <v>4715147042.7603855</v>
      </c>
      <c r="E10" s="18">
        <f>E6*Assumptions!B9</f>
        <v>5229253243.270814</v>
      </c>
      <c r="F10" s="18">
        <f>F6*Assumptions!B9</f>
        <v>5799413938.584132</v>
      </c>
    </row>
    <row r="11" spans="1:6" x14ac:dyDescent="0.25">
      <c r="A11" t="s">
        <v>47</v>
      </c>
      <c r="B11" s="18">
        <f>-B6*Assumptions!B10</f>
        <v>-3275063210.778448</v>
      </c>
      <c r="C11" s="18">
        <f>-C6*Assumptions!B10</f>
        <v>-3632152881.250122</v>
      </c>
      <c r="D11" s="18">
        <f>-D6*Assumptions!B10</f>
        <v>-4028177077.4243584</v>
      </c>
      <c r="E11" s="18">
        <f>-E6*Assumptions!B10</f>
        <v>-4467380943.91618</v>
      </c>
      <c r="F11" s="18">
        <f>-F6*Assumptions!B10</f>
        <v>-4954472485.808982</v>
      </c>
    </row>
    <row r="12" spans="1:6" x14ac:dyDescent="0.25">
      <c r="A12" t="s">
        <v>48</v>
      </c>
      <c r="B12" s="18">
        <f>-(B6-Assumptions!B29)*Assumptions!B11</f>
        <v>7254177530.8741</v>
      </c>
      <c r="C12" s="18">
        <f>-(C6-B6)*Assumptions!B11</f>
        <v>8045121612.660889</v>
      </c>
      <c r="D12" s="18">
        <f>-(D6-C6)*Assumptions!B11</f>
        <v>8922304628.889389</v>
      </c>
      <c r="E12" s="18">
        <f>-(E6-D6)*Assumptions!B11</f>
        <v>9895129461.488785</v>
      </c>
      <c r="F12" s="18">
        <f>-(F6-E6)*Assumptions!B11</f>
        <v>10974024215.962158</v>
      </c>
    </row>
    <row r="13" spans="1:6" x14ac:dyDescent="0.25">
      <c r="A13" s="19" t="s">
        <v>49</v>
      </c>
      <c r="B13" s="20">
        <f>B9+B10+B11+B12</f>
        <v>29853976213.38858</v>
      </c>
      <c r="C13" s="20">
        <f>C9+C10+C11+C12</f>
        <v>33109042098.292286</v>
      </c>
      <c r="D13" s="20">
        <f>D9+D10+D11+D12</f>
        <v>36719017287.046524</v>
      </c>
      <c r="E13" s="20">
        <f>E9+E10+E11+E12</f>
        <v>40722598573.6375</v>
      </c>
      <c r="F13" s="20">
        <f>F9+F10+F11+F12</f>
        <v>45162701976.08574</v>
      </c>
    </row>
    <row r="14" spans="1:6" x14ac:dyDescent="0.25">
      <c r="A14" t="s">
        <v>50</v>
      </c>
      <c r="B14" s="21">
        <f>1/(1+Assumptions!$B$26)^(1-0.5*Assumptions!$B$32)</f>
        <v>0.9712079083223442</v>
      </c>
      <c r="C14" s="21">
        <f>1/(1+Assumptions!$B$26)^(2-0.5*Assumptions!$B$32)</f>
        <v>0.9160868103975899</v>
      </c>
      <c r="D14" s="21">
        <f>1/(1+Assumptions!$B$26)^(3-0.5*Assumptions!$B$32)</f>
        <v>0.8640941213442982</v>
      </c>
      <c r="E14" s="21">
        <f>1/(1+Assumptions!$B$26)^(4-0.5*Assumptions!$B$32)</f>
        <v>0.8150522876950038</v>
      </c>
      <c r="F14" s="21">
        <f>1/(1+Assumptions!$B$26)^(5-0.5*Assumptions!$B$32)</f>
        <v>0.7687938330645868</v>
      </c>
    </row>
    <row r="15" spans="1:6" x14ac:dyDescent="0.25">
      <c r="A15" s="19" t="s">
        <v>51</v>
      </c>
      <c r="B15" s="20">
        <f>B13*B14</f>
        <v>28994417793.31014</v>
      </c>
      <c r="C15" s="20">
        <f>C13*C14</f>
        <v>30330756771.144108</v>
      </c>
      <c r="D15" s="20">
        <f>D13*D14</f>
        <v>31728686979.27656</v>
      </c>
      <c r="E15" s="20">
        <f>E13*E14</f>
        <v>33191047128.32854</v>
      </c>
      <c r="F15" s="20">
        <f>F13*F14</f>
        <v>34720806763.74854</v>
      </c>
    </row>
    <row r="17" spans="1:2" x14ac:dyDescent="0.25">
      <c r="A17" s="22" t="s">
        <v>52</v>
      </c>
      <c r="B17" s="23">
        <f>SUM(B15:F15)</f>
        <v>158965715435.8079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45162701976.08574</v>
      </c>
    </row>
    <row r="5" spans="1:2" x14ac:dyDescent="0.25">
      <c r="A5" t="s">
        <v>56</v>
      </c>
      <c r="B5" s="18">
        <f>IF(Assumptions!$B$33=0,B4,B4-Forecast!F11-Forecast!F10-Forecast!F12)</f>
        <v>35887699855.38761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0.4154882816594741</v>
      </c>
    </row>
    <row r="7" spans="1:2" x14ac:dyDescent="0.25">
      <c r="A7" t="s">
        <v>58</v>
      </c>
      <c r="B7" s="18">
        <f>-MAX(Forecast!F9,0)*B6</f>
        <v>-14910918745.625956</v>
      </c>
    </row>
    <row r="8" spans="1:2" x14ac:dyDescent="0.25">
      <c r="A8" t="s">
        <v>59</v>
      </c>
      <c r="B8" s="18">
        <f>IF(OR(Assumptions!$B$33=0,Assumptions!B12&lt;=0),B5,MAX(B5+B7,0))</f>
        <v>20976781109.761658</v>
      </c>
    </row>
    <row r="9" spans="1:2" x14ac:dyDescent="0.25">
      <c r="A9" t="s">
        <v>60</v>
      </c>
      <c r="B9" s="18">
        <f>B8*(1+Assumptions!B12)/(Assumptions!B26-Assumptions!B12)</f>
        <v>611347668570.6642</v>
      </c>
    </row>
    <row r="10" spans="1:2" x14ac:dyDescent="0.25">
      <c r="A10" t="s">
        <v>61</v>
      </c>
      <c r="B10" s="18">
        <f>B9/(1+Assumptions!B26)^(5-0.5*Assumptions!B32)</f>
        <v>470000317455.53955</v>
      </c>
    </row>
    <row r="11" spans="1:2" x14ac:dyDescent="0.25">
      <c r="A11" t="s">
        <v>62</v>
      </c>
      <c r="B11" s="18">
        <f>Forecast!B17+B10</f>
        <v>628966032891.3474</v>
      </c>
    </row>
    <row r="12" spans="1:2" x14ac:dyDescent="0.25">
      <c r="A12" t="s">
        <v>63</v>
      </c>
      <c r="B12" s="18">
        <f>-Assumptions!B30</f>
        <v>-458051000000</v>
      </c>
    </row>
    <row r="13" spans="1:2" x14ac:dyDescent="0.25">
      <c r="A13" t="s">
        <v>64</v>
      </c>
      <c r="B13" s="18">
        <f>B11+B12</f>
        <v>170915032891.3474</v>
      </c>
    </row>
    <row r="14" spans="1:2" x14ac:dyDescent="0.25">
      <c r="A14" s="19" t="s">
        <v>65</v>
      </c>
      <c r="B14" s="24">
        <f>B13/Assumptions!B31</f>
        <v>121.07988436531272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47539349810.271774</v>
      </c>
    </row>
    <row r="18" spans="1:2" x14ac:dyDescent="0.25">
      <c r="A18" t="s">
        <v>60</v>
      </c>
      <c r="B18" s="18">
        <f>B17*Assumptions!B13</f>
        <v>950786996205.4355</v>
      </c>
    </row>
    <row r="19" spans="1:2" x14ac:dyDescent="0.25">
      <c r="A19" t="s">
        <v>61</v>
      </c>
      <c r="B19" s="18">
        <f>B18/(1+Assumptions!B26)^(5-0.5*Assumptions!B32)</f>
        <v>730959179240.7416</v>
      </c>
    </row>
    <row r="20" spans="1:2" x14ac:dyDescent="0.25">
      <c r="A20" t="s">
        <v>62</v>
      </c>
      <c r="B20" s="18">
        <f>Forecast!B17+B19</f>
        <v>889924894676.5494</v>
      </c>
    </row>
    <row r="21" spans="1:2" x14ac:dyDescent="0.25">
      <c r="A21" t="s">
        <v>63</v>
      </c>
      <c r="B21" s="18">
        <f>-Assumptions!B30</f>
        <v>-458051000000</v>
      </c>
    </row>
    <row r="22" spans="1:2" x14ac:dyDescent="0.25">
      <c r="A22" t="s">
        <v>64</v>
      </c>
      <c r="B22" s="18">
        <f>B20+B21</f>
        <v>431873894676.54944</v>
      </c>
    </row>
    <row r="23" spans="1:2" x14ac:dyDescent="0.25">
      <c r="A23" s="19" t="s">
        <v>65</v>
      </c>
      <c r="B23" s="25">
        <f>B22/Assumptions!B31</f>
        <v>305.9487532678063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284.45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121.07988436531272</v>
      </c>
    </row>
    <row r="29" spans="1:2" x14ac:dyDescent="0.25">
      <c r="A29" s="19" t="s">
        <v>73</v>
      </c>
      <c r="B29" s="12">
        <f>B28/B26-1</f>
        <v>-0.5743368452616884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0.04017</v>
      </c>
      <c r="B5" s="31">
        <v>331.9204147972705</v>
      </c>
      <c r="C5" s="31">
        <v>334.5709652388259</v>
      </c>
      <c r="D5" s="31">
        <v>337.22151568038134</v>
      </c>
      <c r="E5" s="31">
        <v>339.872066121937</v>
      </c>
      <c r="F5" s="31">
        <v>342.52261656349236</v>
      </c>
    </row>
    <row r="6" spans="1:6" x14ac:dyDescent="0.25">
      <c r="A6" s="30">
        <v>0.05017</v>
      </c>
      <c r="B6" s="31">
        <v>203.58918044179802</v>
      </c>
      <c r="C6" s="31">
        <v>205.62198219784665</v>
      </c>
      <c r="D6" s="31">
        <v>207.65478395389528</v>
      </c>
      <c r="E6" s="31">
        <v>209.6875857099439</v>
      </c>
      <c r="F6" s="31">
        <v>211.72038746599253</v>
      </c>
    </row>
    <row r="7" spans="1:6" x14ac:dyDescent="0.25">
      <c r="A7" s="30">
        <v>0.06017</v>
      </c>
      <c r="B7" s="31">
        <v>117.83271732182519</v>
      </c>
      <c r="C7" s="31">
        <v>119.45691001893626</v>
      </c>
      <c r="D7" s="32">
        <v>121.08110271604707</v>
      </c>
      <c r="E7" s="31">
        <v>122.70529541315796</v>
      </c>
      <c r="F7" s="31">
        <v>124.32948811026894</v>
      </c>
    </row>
    <row r="8" spans="1:6" x14ac:dyDescent="0.25">
      <c r="A8" s="30">
        <v>0.07017</v>
      </c>
      <c r="B8" s="31">
        <v>56.45413889534722</v>
      </c>
      <c r="C8" s="31">
        <v>57.78925308393418</v>
      </c>
      <c r="D8" s="31">
        <v>59.12436727252104</v>
      </c>
      <c r="E8" s="31">
        <v>60.45948146110808</v>
      </c>
      <c r="F8" s="31">
        <v>61.79459564969504</v>
      </c>
    </row>
    <row r="9" spans="1:6" x14ac:dyDescent="0.25">
      <c r="A9" s="30">
        <v>0.08017</v>
      </c>
      <c r="B9" s="31">
        <v>10.335349361688852</v>
      </c>
      <c r="C9" s="31">
        <v>11.456027702981533</v>
      </c>
      <c r="D9" s="31">
        <v>12.576706044274085</v>
      </c>
      <c r="E9" s="31">
        <v>13.697384385566723</v>
      </c>
      <c r="F9" s="31">
        <v>14.818062726859317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66532000000</v>
      </c>
      <c r="C5" s="18">
        <v>57491000000</v>
      </c>
      <c r="D5" s="18">
        <v>51591000000</v>
      </c>
      <c r="E5" s="18">
        <v>48775000000</v>
      </c>
      <c r="F5" s="8" t="s">
        <v>84</v>
      </c>
    </row>
    <row r="6" spans="1:6" x14ac:dyDescent="0.25">
      <c r="A6" t="s">
        <v>44</v>
      </c>
      <c r="B6" s="18">
        <v>25651000000</v>
      </c>
      <c r="C6" s="18">
        <v>19862000000</v>
      </c>
      <c r="D6" s="18">
        <v>18183000000</v>
      </c>
      <c r="E6" s="18">
        <v>20109000000</v>
      </c>
      <c r="F6" s="8" t="s">
        <v>85</v>
      </c>
    </row>
    <row r="7" spans="1:6" x14ac:dyDescent="0.25">
      <c r="A7" t="s">
        <v>86</v>
      </c>
      <c r="B7" s="18">
        <v>3079000000</v>
      </c>
      <c r="C7" s="18">
        <v>2981000000</v>
      </c>
      <c r="D7" s="18">
        <v>2854000000</v>
      </c>
      <c r="E7" s="18">
        <v>2652000000</v>
      </c>
      <c r="F7" s="8" t="s">
        <v>87</v>
      </c>
    </row>
    <row r="8" spans="1:6" x14ac:dyDescent="0.25">
      <c r="A8" t="s">
        <v>88</v>
      </c>
      <c r="B8" s="18">
        <v>2243000000</v>
      </c>
      <c r="C8" s="18">
        <v>2280000000</v>
      </c>
      <c r="D8" s="18">
        <v>2730000000</v>
      </c>
      <c r="E8" s="18">
        <v>2500000000</v>
      </c>
      <c r="F8" s="8" t="s">
        <v>89</v>
      </c>
    </row>
    <row r="9" spans="1:6" x14ac:dyDescent="0.25">
      <c r="A9" t="s">
        <v>90</v>
      </c>
      <c r="B9" s="18">
        <v>-27831000000</v>
      </c>
      <c r="C9" s="18">
        <v>-2340000000</v>
      </c>
      <c r="D9" s="18">
        <v>-7227000000</v>
      </c>
      <c r="E9" s="18">
        <v>-2681000000</v>
      </c>
      <c r="F9" s="8" t="s">
        <v>91</v>
      </c>
    </row>
    <row r="10" spans="1:6" x14ac:dyDescent="0.25">
      <c r="A10" t="s">
        <v>92</v>
      </c>
      <c r="B10" s="18">
        <v>545439000000</v>
      </c>
      <c r="C10" s="18">
        <v>463411000000</v>
      </c>
      <c r="D10" s="18">
        <v>439351000000</v>
      </c>
      <c r="E10" s="18">
        <v>425176000000</v>
      </c>
      <c r="F10" s="8" t="s">
        <v>93</v>
      </c>
    </row>
    <row r="11" spans="1:6" x14ac:dyDescent="0.25">
      <c r="A11" t="s">
        <v>94</v>
      </c>
      <c r="B11" s="18">
        <v>87388000000</v>
      </c>
      <c r="C11" s="18">
        <v>122743000000</v>
      </c>
      <c r="D11" s="18">
        <v>133075000000</v>
      </c>
      <c r="E11" s="18">
        <v>180408000000</v>
      </c>
      <c r="F11" s="8" t="s">
        <v>95</v>
      </c>
    </row>
    <row r="12" spans="1:6" x14ac:dyDescent="0.25">
      <c r="A12" t="s">
        <v>32</v>
      </c>
      <c r="B12" s="34">
        <v>1411589000</v>
      </c>
      <c r="C12" s="34">
        <v>1413755000</v>
      </c>
      <c r="D12" s="34">
        <v>1392529000</v>
      </c>
      <c r="E12" s="34">
        <v>1406034000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2026-09-19T01:03:56Z</dcterms:modified>
</cp:coreProperties>
</file>