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<sst xmlns="http://schemas.openxmlformats.org/spreadsheetml/2006/main" count="116" uniqueCount="104">
  <si>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Ryman Healthcare Limited (RYM.NZ)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</si>
  <si>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</si>
  <si>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</si>
  <si>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</si>
  <si>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</si>
  <si>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</si>
  <si>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</si>
  <si>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</si>
  <si>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</si>
  <si>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</si>
  <si>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</si>
  <si>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</si>
  <si>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</si>
  <si>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</si>
  <si>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</si>
  <si>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</si>
  <si>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</si>
  <si>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</si>
  <si>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</si>
  <si>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</si>
  <si>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</si>
  <si>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</si>
  <si>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</si>
  <si>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</si>
  <si>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</si>
  <si>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</si>
  <si>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</si>
  <si>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</si>
  <si>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</si>
  <si>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</si>
  <si>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2025-03-31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</si>
  <si>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</si>
  <si>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</si>
  <si>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</si>
  <si>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</si>
  <si>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</si>
  <si>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</si>
  <si>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</si>
  <si>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</si>
  <si>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</si>
  <si>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</si>
  <si>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</si>
  <si>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</si>
  <si>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</si>
  <si>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</si>
  <si>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</si>
  <si>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</si>
  <si>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</si>
  <si>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</si>
  <si>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</si>
  <si>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</si>
  <si>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</si>
  <si>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</si>
  <si>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</si>
  <si>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</si>
  <si>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</si>
  <si>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</si>
  <si>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</si>
  <si>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</si>
  <si>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</si>
  <si>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</si>
  <si>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</si>
  <si>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</si>
  <si>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</si>
  <si>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</si>
  <si>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</si>
  <si>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</si>
  <si>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</si>
  <si>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</si>
  <si>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</si>
  <si>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</si>
  <si>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</si>
  <si>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</si>
  <si>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</si>
  <si>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</si>
  <si>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</si>
  <si>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</si>
  <si>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</si>
  <si>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</si>
  <si>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2025-03-31</t>
  </si>
  <si>
    <t>2024-03-31</t>
  </si>
  <si>
    <t>2023-03-31</t>
  </si>
  <si>
    <t>2022-03-31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</si>
  <si>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</si>
  <si>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</si>
  <si>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</si>
  <si>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</si>
  <si>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</si>
  <si>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</si>
  <si>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</si>
  <si>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</si>
  <si>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</si>
  <si>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</si>
  <si>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</si>
  <si>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</si>
  <si>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</si>
  <si>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</si>
  <si>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</si>
  <si>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</si>
  <si>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</si>
  <si>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39.7% of revenue against depreciation of 7.2%.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</si>
  <si>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</si>
  <si>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No usable EV/EBITDA (EBITDA is not positive), so the exit multiple falls back to 8x.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</si>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</sst>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0.1231840324375848</v>
      </c>
    </row>
    <row r="7" spans="1:2" x14ac:dyDescent="0.25">
      <c r="A7" t="s">
        <v>5</v>
      </c>
      <c r="B7" s="6">
        <v>-0.0760860552937158</v>
      </c>
    </row>
    <row r="8" spans="1:2" x14ac:dyDescent="0.25">
      <c r="A8" t="s">
        <v>6</v>
      </c>
      <c r="B8" s="6">
        <v>0.04045108450286809</v>
      </c>
    </row>
    <row r="9" spans="1:2" x14ac:dyDescent="0.25">
      <c r="A9" t="s">
        <v>7</v>
      </c>
      <c r="B9" s="6">
        <v>0.07232043572499046</v>
      </c>
    </row>
    <row r="10" spans="1:2" x14ac:dyDescent="0.25">
      <c r="A10" t="s">
        <v>8</v>
      </c>
      <c r="B10" s="6">
        <v>0.39659268328860153</v>
      </c>
    </row>
    <row r="11" spans="1:2" x14ac:dyDescent="0.25">
      <c r="A11" t="s">
        <v>9</v>
      </c>
      <c r="B11" s="6">
        <v>-0.6930239759355923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0.07284991124991003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0.55713</v>
      </c>
      <c r="C19" s="8" t="s">
        <v>19</v>
      </c>
    </row>
    <row r="20" spans="1:2" x14ac:dyDescent="0.25">
      <c r="A20" t="s">
        <v>20</v>
      </c>
      <c r="B20" s="10">
        <f>B17+B19*B18</f>
        <v>0.08121344999999999</v>
      </c>
    </row>
    <row r="21" spans="1:3" x14ac:dyDescent="0.25">
      <c r="A21" t="s">
        <v>21</v>
      </c>
      <c r="B21" s="6">
        <v>0.06555452582446754</v>
      </c>
      <c r="C21" s="8" t="s">
        <v>22</v>
      </c>
    </row>
    <row r="22" spans="1:2" x14ac:dyDescent="0.25">
      <c r="A22" t="s">
        <v>23</v>
      </c>
      <c r="B22" s="11">
        <v>2016254592</v>
      </c>
    </row>
    <row r="23" spans="1:2" x14ac:dyDescent="0.25">
      <c r="A23" t="s">
        <v>24</v>
      </c>
      <c r="B23" s="11">
        <v>1695264000</v>
      </c>
    </row>
    <row r="24" spans="1:2" x14ac:dyDescent="0.25">
      <c r="A24" t="s">
        <v>25</v>
      </c>
      <c r="B24" s="10">
        <f>B22/(B22+B23)</f>
        <v>0.5432424874136264</v>
      </c>
    </row>
    <row r="25" spans="1:2" x14ac:dyDescent="0.25">
      <c r="A25" t="s">
        <v>26</v>
      </c>
      <c r="B25" s="10">
        <f>1-B24</f>
        <v>0.45675751258637365</v>
      </c>
    </row>
    <row r="26" spans="1:2" x14ac:dyDescent="0.25">
      <c r="A26" t="s">
        <v>27</v>
      </c>
      <c r="B26" s="12">
        <f>B24*B20+B25*B21*(1-B8)</f>
        <v>0.07284991124991003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713797000</v>
      </c>
      <c r="C29" s="8" t="s">
        <v>30</v>
      </c>
    </row>
    <row r="30" spans="1:2" x14ac:dyDescent="0.25">
      <c r="A30" t="s">
        <v>31</v>
      </c>
      <c r="B30" s="11">
        <v>1677606000</v>
      </c>
    </row>
    <row r="31" spans="1:2" x14ac:dyDescent="0.25">
      <c r="A31" t="s">
        <v>32</v>
      </c>
      <c r="B31" s="13">
        <v>710192000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0.1231840324375848</v>
      </c>
      <c r="C5" s="10">
        <f>Assumptions!B6</f>
        <v>0.1231840324375848</v>
      </c>
      <c r="D5" s="10">
        <f>Assumptions!B6</f>
        <v>0.1231840324375848</v>
      </c>
      <c r="E5" s="10">
        <f>Assumptions!B6</f>
        <v>0.1231840324375848</v>
      </c>
      <c r="F5" s="10">
        <f>Assumptions!B6</f>
        <v>0.1231840324375848</v>
      </c>
    </row>
    <row r="6" spans="1:6" x14ac:dyDescent="0.25">
      <c r="A6" t="s">
        <v>43</v>
      </c>
      <c r="B6" s="18">
        <f>Assumptions!B29*(1+B5)</f>
        <v>801725392.8018507</v>
      </c>
      <c r="C6" s="18">
        <f>B6*(1+C5)</f>
        <v>900485159.5947893</v>
      </c>
      <c r="D6" s="18">
        <f>C6*(1+D5)</f>
        <v>1011410552.7038776</v>
      </c>
      <c r="E6" s="18">
        <f>D6*(1+E5)</f>
        <v>1136000183.0358677</v>
      </c>
      <c r="F6" s="18">
        <f>E6*(1+F5)</f>
        <v>1275937266.4320602</v>
      </c>
    </row>
    <row r="7" spans="1:6" x14ac:dyDescent="0.25">
      <c r="A7" t="s">
        <v>5</v>
      </c>
      <c r="B7" s="10">
        <f>Assumptions!B7</f>
        <v>-0.0760860552937158</v>
      </c>
      <c r="C7" s="10">
        <f>Assumptions!B7</f>
        <v>-0.0760860552937158</v>
      </c>
      <c r="D7" s="10">
        <f>Assumptions!B7</f>
        <v>-0.0760860552937158</v>
      </c>
      <c r="E7" s="10">
        <f>Assumptions!B7</f>
        <v>-0.0760860552937158</v>
      </c>
      <c r="F7" s="10">
        <f>Assumptions!B7</f>
        <v>-0.0760860552937158</v>
      </c>
    </row>
    <row r="8" spans="1:6" x14ac:dyDescent="0.25">
      <c r="A8" t="s">
        <v>44</v>
      </c>
      <c r="B8" s="18">
        <f>B6*B7</f>
        <v>-61000122.567097634</v>
      </c>
      <c r="C8" s="18">
        <f>C6*C7</f>
        <v>-68514363.64409964</v>
      </c>
      <c r="D8" s="18">
        <f>D6*D7</f>
        <v>-76954239.23767489</v>
      </c>
      <c r="E8" s="18">
        <f>E6*E7</f>
        <v>-86433772.7401383</v>
      </c>
      <c r="F8" s="18">
        <f>F6*F7</f>
        <v>-97081033.40506233</v>
      </c>
    </row>
    <row r="9" spans="1:6" x14ac:dyDescent="0.25">
      <c r="A9" t="s">
        <v>45</v>
      </c>
      <c r="B9" s="18">
        <f>B8*(1-Assumptions!B8)</f>
        <v>-58532601.45445066</v>
      </c>
      <c r="C9" s="18">
        <f>C8*(1-Assumptions!B8)</f>
        <v>-65742883.330671936</v>
      </c>
      <c r="D9" s="18">
        <f>D8*(1-Assumptions!B8)</f>
        <v>-73841356.80341779</v>
      </c>
      <c r="E9" s="18">
        <f>E8*(1-Assumptions!B8)</f>
        <v>-82937432.89512528</v>
      </c>
      <c r="F9" s="18">
        <f>F8*(1-Assumptions!B8)</f>
        <v>-93154000.3191684</v>
      </c>
    </row>
    <row r="10" spans="1:6" x14ac:dyDescent="0.25">
      <c r="A10" t="s">
        <v>46</v>
      </c>
      <c r="B10" s="18">
        <f>B6*Assumptions!B9</f>
        <v>57981129.73921897</v>
      </c>
      <c r="C10" s="18">
        <f>C6*Assumptions!B9</f>
        <v>65123479.10578273</v>
      </c>
      <c r="D10" s="18">
        <f>D6*Assumptions!B9</f>
        <v>73145651.86839785</v>
      </c>
      <c r="E10" s="18">
        <f>E6*Assumptions!B9</f>
        <v>82156028.22082287</v>
      </c>
      <c r="F10" s="18">
        <f>F6*Assumptions!B9</f>
        <v>92276339.06611983</v>
      </c>
    </row>
    <row r="11" spans="1:6" x14ac:dyDescent="0.25">
      <c r="A11" t="s">
        <v>47</v>
      </c>
      <c r="B11" s="18">
        <f>-B6*Assumptions!B10</f>
        <v>-317958424.791894</v>
      </c>
      <c r="C11" s="18">
        <f>-C6*Assumptions!B10</f>
        <v>-357125825.70526206</v>
      </c>
      <c r="D11" s="18">
        <f>-D6*Assumptions!B10</f>
        <v>-401118025.0032383</v>
      </c>
      <c r="E11" s="18">
        <f>-E6*Assumptions!B10</f>
        <v>-450529360.8065373</v>
      </c>
      <c r="F11" s="18">
        <f>-F6*Assumptions!B10</f>
        <v>-506027384.20221406</v>
      </c>
    </row>
    <row r="12" spans="1:6" x14ac:dyDescent="0.25">
      <c r="A12" t="s">
        <v>48</v>
      </c>
      <c r="B12" s="18">
        <f>-(B6-Assumptions!B29)*Assumptions!B11</f>
        <v>60936484.37716507</v>
      </c>
      <c r="C12" s="18">
        <f>-(C6-B6)*Assumptions!B11</f>
        <v>68442886.24531418</v>
      </c>
      <c r="D12" s="18">
        <f>-(D6-C6)*Assumptions!B11</f>
        <v>76873956.96467893</v>
      </c>
      <c r="E12" s="18">
        <f>-(E6-D6)*Assumptions!B11</f>
        <v>86343600.97302146</v>
      </c>
      <c r="F12" s="18">
        <f>-(F6-E6)*Assumptions!B11</f>
        <v>96979753.91605991</v>
      </c>
    </row>
    <row r="13" spans="1:6" x14ac:dyDescent="0.25">
      <c r="A13" s="19" t="s">
        <v>49</v>
      </c>
      <c r="B13" s="20">
        <f>B9+B10+B11+B12</f>
        <v>-257573412.12996066</v>
      </c>
      <c r="C13" s="20">
        <f>C9+C10+C11+C12</f>
        <v>-289302343.6848371</v>
      </c>
      <c r="D13" s="20">
        <f>D9+D10+D11+D12</f>
        <v>-324939772.97357935</v>
      </c>
      <c r="E13" s="20">
        <f>E9+E10+E11+E12</f>
        <v>-364967164.5078182</v>
      </c>
      <c r="F13" s="20">
        <f>F9+F10+F11+F12</f>
        <v>-409925291.53920275</v>
      </c>
    </row>
    <row r="14" spans="1:6" x14ac:dyDescent="0.25">
      <c r="A14" t="s">
        <v>50</v>
      </c>
      <c r="B14" s="21">
        <f>1/(1+Assumptions!$B$26)^(1-0.5*Assumptions!$B$32)</f>
        <v>0.9654516190619246</v>
      </c>
      <c r="C14" s="21">
        <f>1/(1+Assumptions!$B$26)^(2-0.5*Assumptions!$B$32)</f>
        <v>0.8998943924384891</v>
      </c>
      <c r="D14" s="21">
        <f>1/(1+Assumptions!$B$26)^(3-0.5*Assumptions!$B$32)</f>
        <v>0.8387887094011862</v>
      </c>
      <c r="E14" s="21">
        <f>1/(1+Assumptions!$B$26)^(4-0.5*Assumptions!$B$32)</f>
        <v>0.7818322960235567</v>
      </c>
      <c r="F14" s="21">
        <f>1/(1+Assumptions!$B$26)^(5-0.5*Assumptions!$B$32)</f>
        <v>0.7287434037373347</v>
      </c>
    </row>
    <row r="15" spans="1:6" x14ac:dyDescent="0.25">
      <c r="A15" s="19" t="s">
        <v>51</v>
      </c>
      <c r="B15" s="20">
        <f>B13*B14</f>
        <v>-248674667.7681749</v>
      </c>
      <c r="C15" s="20">
        <f>C13*C14</f>
        <v>-260341556.80129746</v>
      </c>
      <c r="D15" s="20">
        <f>D13*D14</f>
        <v>-272555812.80562305</v>
      </c>
      <c r="E15" s="20">
        <f>E13*E14</f>
        <v>-285343116.2003547</v>
      </c>
      <c r="F15" s="20">
        <f>F13*F14</f>
        <v>-298730352.2342979</v>
      </c>
    </row>
    <row r="17" spans="1:2" x14ac:dyDescent="0.25">
      <c r="A17" s="22" t="s">
        <v>52</v>
      </c>
      <c r="B17" s="23">
        <f>SUM(B15:F15)</f>
        <v>-1365645505.809748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-409925291.53920275</v>
      </c>
    </row>
    <row r="5" spans="1:2" x14ac:dyDescent="0.25">
      <c r="A5" t="s">
        <v>56</v>
      </c>
      <c r="B5" s="18">
        <f>IF(Assumptions!$B$33=0,B4,B4-Forecast!F11-Forecast!F10-Forecast!F12)</f>
        <v>-93154000.3191684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0.3431713171789331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-1365645505.809748</v>
      </c>
    </row>
    <row r="12" spans="1:2" x14ac:dyDescent="0.25">
      <c r="A12" t="s">
        <v>63</v>
      </c>
      <c r="B12" s="18">
        <f>-Assumptions!B30</f>
        <v>-1677605999.9999998</v>
      </c>
    </row>
    <row r="13" spans="1:2" x14ac:dyDescent="0.25">
      <c r="A13" t="s">
        <v>64</v>
      </c>
      <c r="B13" s="18">
        <f>B11+B12</f>
        <v>-3043251505.8097477</v>
      </c>
    </row>
    <row r="14" spans="1:2" x14ac:dyDescent="0.25">
      <c r="A14" s="19" t="s">
        <v>65</v>
      </c>
      <c r="B14" s="24">
        <f>B13/Assumptions!B31</f>
        <v>-4.285110935929647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-4804694.338942498</v>
      </c>
    </row>
    <row r="18" spans="1:2" x14ac:dyDescent="0.25">
      <c r="A18" t="s">
        <v>60</v>
      </c>
      <c r="B18" s="18">
        <f>B17*Assumptions!B13</f>
        <v>-38437554.711539984</v>
      </c>
    </row>
    <row r="19" spans="1:2" x14ac:dyDescent="0.25">
      <c r="A19" t="s">
        <v>61</v>
      </c>
      <c r="B19" s="18">
        <f>B18/(1+Assumptions!B26)^(5-0.5*Assumptions!B32)</f>
        <v>-28011114.451827675</v>
      </c>
    </row>
    <row r="20" spans="1:2" x14ac:dyDescent="0.25">
      <c r="A20" t="s">
        <v>62</v>
      </c>
      <c r="B20" s="18">
        <f>Forecast!B17+B19</f>
        <v>-1393656620.2615757</v>
      </c>
    </row>
    <row r="21" spans="1:2" x14ac:dyDescent="0.25">
      <c r="A21" t="s">
        <v>63</v>
      </c>
      <c r="B21" s="18">
        <f>-Assumptions!B30</f>
        <v>-1677606000</v>
      </c>
    </row>
    <row r="22" spans="1:2" x14ac:dyDescent="0.25">
      <c r="A22" t="s">
        <v>64</v>
      </c>
      <c r="B22" s="18">
        <f>B20+B21</f>
        <v>-3071262620.2615757</v>
      </c>
    </row>
    <row r="23" spans="1:2" x14ac:dyDescent="0.25">
      <c r="A23" s="19" t="s">
        <v>65</v>
      </c>
      <c r="B23" s="25">
        <f>B22/Assumptions!B31</f>
        <v>-4.324552543905839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1.985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-4.285110935929647</v>
      </c>
    </row>
    <row r="29" spans="1:2" x14ac:dyDescent="0.25">
      <c r="A29" s="19" t="s">
        <v>73</v>
      </c>
      <c r="B29" s="12">
        <f>B28/B26-1</f>
        <v>-3.158746063440628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0.05285</v>
      </c>
      <c r="B5" s="31">
        <v>-4.381925943798838</v>
      </c>
      <c r="C5" s="31">
        <v>-4.381925943798838</v>
      </c>
      <c r="D5" s="31">
        <v>-4.381925943798838</v>
      </c>
      <c r="E5" s="31">
        <v>-4.381925943798838</v>
      </c>
      <c r="F5" s="31">
        <v>-4.381925943798838</v>
      </c>
    </row>
    <row r="6" spans="1:6" x14ac:dyDescent="0.25">
      <c r="A6" s="30">
        <v>0.06285</v>
      </c>
      <c r="B6" s="31">
        <v>-4.3325223638804555</v>
      </c>
      <c r="C6" s="31">
        <v>-4.3325223638804555</v>
      </c>
      <c r="D6" s="31">
        <v>-4.3325223638804555</v>
      </c>
      <c r="E6" s="31">
        <v>-4.3325223638804555</v>
      </c>
      <c r="F6" s="31">
        <v>-4.3325223638804555</v>
      </c>
    </row>
    <row r="7" spans="1:6" x14ac:dyDescent="0.25">
      <c r="A7" s="30">
        <v>0.07285</v>
      </c>
      <c r="B7" s="31">
        <v>-4.285110523678037</v>
      </c>
      <c r="C7" s="31">
        <v>-4.285110523678037</v>
      </c>
      <c r="D7" s="32">
        <v>-4.285110523678037</v>
      </c>
      <c r="E7" s="31">
        <v>-4.285110523678037</v>
      </c>
      <c r="F7" s="31">
        <v>-4.285110523678037</v>
      </c>
    </row>
    <row r="8" spans="1:6" x14ac:dyDescent="0.25">
      <c r="A8" s="30">
        <v>0.08285</v>
      </c>
      <c r="B8" s="31">
        <v>-4.239587479547638</v>
      </c>
      <c r="C8" s="31">
        <v>-4.239587479547638</v>
      </c>
      <c r="D8" s="31">
        <v>-4.239587479547638</v>
      </c>
      <c r="E8" s="31">
        <v>-4.239587479547638</v>
      </c>
      <c r="F8" s="31">
        <v>-4.239587479547638</v>
      </c>
    </row>
    <row r="9" spans="1:6" x14ac:dyDescent="0.25">
      <c r="A9" s="30">
        <v>0.09285</v>
      </c>
      <c r="B9" s="31">
        <v>-4.195856641048192</v>
      </c>
      <c r="C9" s="31">
        <v>-4.195856641048192</v>
      </c>
      <c r="D9" s="31">
        <v>-4.195856641048192</v>
      </c>
      <c r="E9" s="31">
        <v>-4.195856641048192</v>
      </c>
      <c r="F9" s="31">
        <v>-4.195856641048192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713797000</v>
      </c>
      <c r="C5" s="18">
        <v>650534000</v>
      </c>
      <c r="D5" s="18">
        <v>560110000</v>
      </c>
      <c r="E5" s="18">
        <v>503758000</v>
      </c>
      <c r="F5" s="8" t="s">
        <v>84</v>
      </c>
    </row>
    <row r="6" spans="1:6" x14ac:dyDescent="0.25">
      <c r="A6" t="s">
        <v>44</v>
      </c>
      <c r="B6" s="18">
        <v>-118256000</v>
      </c>
      <c r="C6" s="18">
        <v>-69607000</v>
      </c>
      <c r="D6" s="18">
        <v>-19766000</v>
      </c>
      <c r="E6" s="18">
        <v>1822000</v>
      </c>
      <c r="F6" s="8" t="s">
        <v>85</v>
      </c>
    </row>
    <row r="7" spans="1:6" x14ac:dyDescent="0.25">
      <c r="A7" t="s">
        <v>86</v>
      </c>
      <c r="B7" s="18">
        <v>48461000</v>
      </c>
      <c r="C7" s="18">
        <v>43803000</v>
      </c>
      <c r="D7" s="18">
        <v>46597000</v>
      </c>
      <c r="E7" s="18">
        <v>35698000</v>
      </c>
      <c r="F7" s="8" t="s">
        <v>87</v>
      </c>
    </row>
    <row r="8" spans="1:6" x14ac:dyDescent="0.25">
      <c r="A8" t="s">
        <v>88</v>
      </c>
      <c r="B8" s="18">
        <v>107090000</v>
      </c>
      <c r="C8" s="18">
        <v>172199000</v>
      </c>
      <c r="D8" s="18">
        <v>324206000</v>
      </c>
      <c r="E8" s="18">
        <v>298634000</v>
      </c>
      <c r="F8" s="8" t="s">
        <v>89</v>
      </c>
    </row>
    <row r="9" spans="1:6" x14ac:dyDescent="0.25">
      <c r="A9" t="s">
        <v>90</v>
      </c>
      <c r="B9" s="18">
        <v>-617595000</v>
      </c>
      <c r="C9" s="18">
        <v>-62666000</v>
      </c>
      <c r="D9" s="18">
        <v>184566000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1695264000</v>
      </c>
      <c r="C10" s="18">
        <v>2569064000</v>
      </c>
      <c r="D10" s="18">
        <v>2344737000</v>
      </c>
      <c r="E10" s="18">
        <v>3386349000</v>
      </c>
      <c r="F10" s="8" t="s">
        <v>93</v>
      </c>
    </row>
    <row r="11" spans="1:6" x14ac:dyDescent="0.25">
      <c r="A11" t="s">
        <v>94</v>
      </c>
      <c r="B11" s="18">
        <v>17658000</v>
      </c>
      <c r="C11" s="18">
        <v>41809000</v>
      </c>
      <c r="D11" s="18">
        <v>27879000</v>
      </c>
      <c r="E11" s="18">
        <v>28309000</v>
      </c>
      <c r="F11" s="8" t="s">
        <v>95</v>
      </c>
    </row>
    <row r="12" spans="1:6" x14ac:dyDescent="0.25">
      <c r="A12" t="s">
        <v>32</v>
      </c>
      <c r="B12" s="34">
        <v>710192000</v>
      </c>
      <c r="C12" s="34">
        <v>730438164</v>
      </c>
      <c r="D12" s="34">
        <v>548456935</v>
      </c>
      <c r="E12" s="34">
        <v>563469486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2026-09-19T00:08:08Z</dcterms:modified>
</cp:coreProperties>
</file>