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<sst xmlns="http://schemas.openxmlformats.org/spreadsheetml/2006/main" count="114" uniqueCount="102">
  <si>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South32 Limited (S32.AX)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</si>
  <si>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</si>
  <si>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</si>
  <si>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</si>
  <si>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</si>
  <si>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</si>
  <si>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</si>
  <si>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</si>
  <si>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</si>
  <si>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</si>
  <si>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</si>
  <si>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</si>
  <si>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</si>
  <si>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</si>
  <si>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</si>
  <si>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</si>
  <si>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</si>
  <si>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</si>
  <si>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</si>
  <si>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</si>
  <si>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</si>
  <si>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</si>
  <si>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</si>
  <si>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</si>
  <si>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</si>
  <si>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</si>
  <si>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</si>
  <si>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</si>
  <si>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</si>
  <si>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</si>
  <si>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</si>
  <si>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</si>
  <si>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</si>
  <si>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</si>
  <si>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</si>
  <si>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</si>
  <si>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</si>
  <si>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</si>
  <si>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</si>
  <si>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</si>
  <si>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</si>
  <si>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</si>
  <si>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</si>
  <si>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</si>
  <si>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</si>
  <si>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</si>
  <si>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</si>
  <si>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</si>
  <si>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</si>
  <si>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</si>
  <si>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</si>
  <si>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</si>
  <si>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</si>
  <si>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</si>
  <si>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</si>
  <si>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</si>
  <si>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</si>
  <si>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</si>
  <si>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</si>
  <si>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</si>
  <si>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</si>
  <si>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</si>
  <si>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</si>
  <si>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</si>
  <si>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</si>
  <si>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</si>
  <si>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</si>
  <si>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</si>
  <si>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</si>
  <si>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</si>
  <si>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</si>
  <si>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</si>
  <si>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</si>
  <si>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</si>
  <si>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</si>
  <si>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</si>
  <si>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</si>
  <si>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</si>
  <si>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</si>
  <si>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</si>
  <si>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</si>
  <si>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</si>
  <si>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</si>
  <si>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</si>
  <si>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</si>
  <si>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</si>
  <si>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</si>
  <si>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</si>
  <si>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</si>
  <si>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</si>
  <si>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</si>
  <si>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</si>
  <si>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</si>
  <si>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</si>
  <si>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</si>
  <si>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</si>
  <si>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</si>
  <si>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</si>
  <si>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AUD. Modelled in USD, converted at the end.</t>
  </si>
  <si>
    <t>Adjusted: Free cashflow is negative in at least one forecast year, so terminal value carries most of the valuation.</t>
  </si>
  <si>
    <t>Adjusted: Capital expenditure runs at 19.1% of revenue against depreciation of 10.2%.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</si>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</sst>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0.009937522605408367</v>
      </c>
    </row>
    <row r="7" spans="1:2" x14ac:dyDescent="0.25">
      <c r="A7" t="s">
        <v>5</v>
      </c>
      <c r="B7" s="6">
        <v>0.11174795779689074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0.10232463895623368</v>
      </c>
    </row>
    <row r="10" spans="1:2" x14ac:dyDescent="0.25">
      <c r="A10" t="s">
        <v>8</v>
      </c>
      <c r="B10" s="6">
        <v>0.19125188178080943</v>
      </c>
    </row>
    <row r="11" spans="1:2" x14ac:dyDescent="0.25">
      <c r="A11" t="s">
        <v>9</v>
      </c>
      <c r="B11" s="6">
        <v>-0.13001383125864455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16.51432909613929</v>
      </c>
    </row>
    <row r="14" spans="1:3" x14ac:dyDescent="0.25">
      <c r="A14" t="s">
        <v>12</v>
      </c>
      <c r="B14" s="6">
        <v>0.10020655307550305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0.8003399999999999</v>
      </c>
      <c r="C19" s="8" t="s">
        <v>19</v>
      </c>
    </row>
    <row r="20" spans="1:2" x14ac:dyDescent="0.25">
      <c r="A20" t="s">
        <v>20</v>
      </c>
      <c r="B20" s="10">
        <f>B17+B19*B18</f>
        <v>0.10150039999999999</v>
      </c>
    </row>
    <row r="21" spans="1:3" x14ac:dyDescent="0.25">
      <c r="A21" t="s">
        <v>21</v>
      </c>
      <c r="B21" s="6">
        <v>0.12109038737446198</v>
      </c>
      <c r="C21" s="8" t="s">
        <v>22</v>
      </c>
    </row>
    <row r="22" spans="1:2" x14ac:dyDescent="0.25">
      <c r="A22" t="s">
        <v>23</v>
      </c>
      <c r="B22" s="11">
        <v>22093428736</v>
      </c>
    </row>
    <row r="23" spans="1:2" x14ac:dyDescent="0.25">
      <c r="A23" t="s">
        <v>24</v>
      </c>
      <c r="B23" s="11">
        <v>1851000000</v>
      </c>
    </row>
    <row r="24" spans="1:2" x14ac:dyDescent="0.25">
      <c r="A24" t="s">
        <v>25</v>
      </c>
      <c r="B24" s="10">
        <f>B22/(B22+B23)</f>
        <v>0.9226960049701642</v>
      </c>
    </row>
    <row r="25" spans="1:2" x14ac:dyDescent="0.25">
      <c r="A25" t="s">
        <v>26</v>
      </c>
      <c r="B25" s="10">
        <f>1-B24</f>
        <v>0.07730399502983576</v>
      </c>
    </row>
    <row r="26" spans="1:2" x14ac:dyDescent="0.25">
      <c r="A26" t="s">
        <v>27</v>
      </c>
      <c r="B26" s="12">
        <f>B24*B20+B25*B21*(1-B8)</f>
        <v>0.10020655307550305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5816000000</v>
      </c>
      <c r="C29" s="8" t="s">
        <v>30</v>
      </c>
    </row>
    <row r="30" spans="1:2" x14ac:dyDescent="0.25">
      <c r="A30" t="s">
        <v>31</v>
      </c>
      <c r="B30" s="11">
        <v>-278000000</v>
      </c>
    </row>
    <row r="31" spans="1:2" x14ac:dyDescent="0.25">
      <c r="A31" t="s">
        <v>32</v>
      </c>
      <c r="B31" s="13">
        <v>4503000000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0.009937522605408367</v>
      </c>
      <c r="C5" s="10">
        <f>Assumptions!B6</f>
        <v>0.009937522605408367</v>
      </c>
      <c r="D5" s="10">
        <f>Assumptions!B6</f>
        <v>0.009937522605408367</v>
      </c>
      <c r="E5" s="10">
        <f>Assumptions!B6</f>
        <v>0.009937522605408367</v>
      </c>
      <c r="F5" s="10">
        <f>Assumptions!B6</f>
        <v>0.009937522605408367</v>
      </c>
    </row>
    <row r="6" spans="1:6" x14ac:dyDescent="0.25">
      <c r="A6" t="s">
        <v>43</v>
      </c>
      <c r="B6" s="18">
        <f>Assumptions!B29*(1+B5)</f>
        <v>5873796631.473055</v>
      </c>
      <c r="C6" s="18">
        <f>B6*(1+C5)</f>
        <v>5932167618.27789</v>
      </c>
      <c r="D6" s="18">
        <f>C6*(1+D5)</f>
        <v>5991118668.083598</v>
      </c>
      <c r="E6" s="18">
        <f>D6*(1+E5)</f>
        <v>6050655545.279363</v>
      </c>
      <c r="F6" s="18">
        <f>E6*(1+F5)</f>
        <v>6110784071.5381155</v>
      </c>
    </row>
    <row r="7" spans="1:6" x14ac:dyDescent="0.25">
      <c r="A7" t="s">
        <v>5</v>
      </c>
      <c r="B7" s="10">
        <f>Assumptions!B7</f>
        <v>0.11174795779689074</v>
      </c>
      <c r="C7" s="10">
        <f>Assumptions!B7</f>
        <v>0.11174795779689074</v>
      </c>
      <c r="D7" s="10">
        <f>Assumptions!B7</f>
        <v>0.11174795779689074</v>
      </c>
      <c r="E7" s="10">
        <f>Assumptions!B7</f>
        <v>0.11174795779689074</v>
      </c>
      <c r="F7" s="10">
        <f>Assumptions!B7</f>
        <v>0.11174795779689074</v>
      </c>
    </row>
    <row r="8" spans="1:6" x14ac:dyDescent="0.25">
      <c r="A8" t="s">
        <v>44</v>
      </c>
      <c r="B8" s="18">
        <f>B6*B7</f>
        <v>656384778.08137</v>
      </c>
      <c r="C8" s="18">
        <f>C6*C7</f>
        <v>662907616.6513995</v>
      </c>
      <c r="D8" s="18">
        <f>D6*D7</f>
        <v>669495276.0771703</v>
      </c>
      <c r="E8" s="18">
        <f>E6*E7</f>
        <v>676148400.5174012</v>
      </c>
      <c r="F8" s="18">
        <f>F6*F7</f>
        <v>682867640.5321535</v>
      </c>
    </row>
    <row r="9" spans="1:6" x14ac:dyDescent="0.25">
      <c r="A9" t="s">
        <v>45</v>
      </c>
      <c r="B9" s="18">
        <f>B8*(1-Assumptions!B8)</f>
        <v>459469344.656959</v>
      </c>
      <c r="C9" s="18">
        <f>C8*(1-Assumptions!B8)</f>
        <v>464035331.65597963</v>
      </c>
      <c r="D9" s="18">
        <f>D8*(1-Assumptions!B8)</f>
        <v>468646693.25401914</v>
      </c>
      <c r="E9" s="18">
        <f>E8*(1-Assumptions!B8)</f>
        <v>473303880.3621808</v>
      </c>
      <c r="F9" s="18">
        <f>F8*(1-Assumptions!B8)</f>
        <v>478007348.3725074</v>
      </c>
    </row>
    <row r="10" spans="1:6" x14ac:dyDescent="0.25">
      <c r="A10" t="s">
        <v>46</v>
      </c>
      <c r="B10" s="18">
        <f>B6*Assumptions!B9</f>
        <v>601034119.6178219</v>
      </c>
      <c r="C10" s="18">
        <f>C6*Assumptions!B9</f>
        <v>607006909.7681458</v>
      </c>
      <c r="D10" s="18">
        <f>D6*Assumptions!B9</f>
        <v>613039054.6556058</v>
      </c>
      <c r="E10" s="18">
        <f>E6*Assumptions!B9</f>
        <v>619131144.1192441</v>
      </c>
      <c r="F10" s="18">
        <f>F6*Assumptions!B9</f>
        <v>625283773.8596413</v>
      </c>
    </row>
    <row r="11" spans="1:6" x14ac:dyDescent="0.25">
      <c r="A11" t="s">
        <v>47</v>
      </c>
      <c r="B11" s="18">
        <f>-B6*Assumptions!B10</f>
        <v>-1123374658.9670014</v>
      </c>
      <c r="C11" s="18">
        <f>-C6*Assumptions!B10</f>
        <v>-1134538220.034829</v>
      </c>
      <c r="D11" s="18">
        <f>-D6*Assumptions!B10</f>
        <v>-1145812719.2431247</v>
      </c>
      <c r="E11" s="18">
        <f>-E6*Assumptions!B10</f>
        <v>-1157199259.0421677</v>
      </c>
      <c r="F11" s="18">
        <f>-F6*Assumptions!B10</f>
        <v>-1168698952.837861</v>
      </c>
    </row>
    <row r="12" spans="1:6" x14ac:dyDescent="0.25">
      <c r="A12" t="s">
        <v>48</v>
      </c>
      <c r="B12" s="18">
        <f>-(B6-Assumptions!B29)*Assumptions!B11</f>
        <v>7514361.491655823</v>
      </c>
      <c r="C12" s="18">
        <f>-(C6-B6)*Assumptions!B11</f>
        <v>7589035.628844427</v>
      </c>
      <c r="D12" s="18">
        <f>-(D6-C6)*Assumptions!B11</f>
        <v>7664451.841959261</v>
      </c>
      <c r="E12" s="18">
        <f>-(E6-D6)*Assumptions!B11</f>
        <v>7740617.505396774</v>
      </c>
      <c r="F12" s="18">
        <f>-(F6-E6)*Assumptions!B11</f>
        <v>7817540.066836467</v>
      </c>
    </row>
    <row r="13" spans="1:6" x14ac:dyDescent="0.25">
      <c r="A13" s="19" t="s">
        <v>49</v>
      </c>
      <c r="B13" s="20">
        <f>B9+B10+B11+B12</f>
        <v>-55356833.20056462</v>
      </c>
      <c r="C13" s="20">
        <f>C9+C10+C11+C12</f>
        <v>-55906942.98185904</v>
      </c>
      <c r="D13" s="20">
        <f>D9+D10+D11+D12</f>
        <v>-56462519.49154041</v>
      </c>
      <c r="E13" s="20">
        <f>E9+E10+E11+E12</f>
        <v>-57023617.05534608</v>
      </c>
      <c r="F13" s="20">
        <f>F9+F10+F11+F12</f>
        <v>-57590290.538875945</v>
      </c>
    </row>
    <row r="14" spans="1:6" x14ac:dyDescent="0.25">
      <c r="A14" t="s">
        <v>50</v>
      </c>
      <c r="B14" s="21">
        <f>1/(1+Assumptions!$B$26)^(1-0.5*Assumptions!$B$32)</f>
        <v>0.9533730833823867</v>
      </c>
      <c r="C14" s="21">
        <f>1/(1+Assumptions!$B$26)^(2-0.5*Assumptions!$B$32)</f>
        <v>0.8665400880565017</v>
      </c>
      <c r="D14" s="21">
        <f>1/(1+Assumptions!$B$26)^(3-0.5*Assumptions!$B$32)</f>
        <v>0.7876158214420619</v>
      </c>
      <c r="E14" s="21">
        <f>1/(1+Assumptions!$B$26)^(4-0.5*Assumptions!$B$32)</f>
        <v>0.7158799583954222</v>
      </c>
      <c r="F14" s="21">
        <f>1/(1+Assumptions!$B$26)^(5-0.5*Assumptions!$B$32)</f>
        <v>0.650677780816939</v>
      </c>
    </row>
    <row r="15" spans="1:6" x14ac:dyDescent="0.25">
      <c r="A15" s="19" t="s">
        <v>51</v>
      </c>
      <c r="B15" s="20">
        <f>B13*B14</f>
        <v>-52775714.75470677</v>
      </c>
      <c r="C15" s="20">
        <f>C13*C14</f>
        <v>-48445607.29446996</v>
      </c>
      <c r="D15" s="20">
        <f>D13*D14</f>
        <v>-44470773.67001803</v>
      </c>
      <c r="E15" s="20">
        <f>E13*E14</f>
        <v>-40822064.60513764</v>
      </c>
      <c r="F15" s="20">
        <f>F13*F14</f>
        <v>-37472722.44443856</v>
      </c>
    </row>
    <row r="17" spans="1:2" x14ac:dyDescent="0.25">
      <c r="A17" s="22" t="s">
        <v>52</v>
      </c>
      <c r="B17" s="23">
        <f>SUM(B15:F15)</f>
        <v>-223986882.768771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-57590290.538875945</v>
      </c>
    </row>
    <row r="5" spans="1:2" x14ac:dyDescent="0.25">
      <c r="A5" t="s">
        <v>56</v>
      </c>
      <c r="B5" s="18">
        <f>IF(Assumptions!$B$33=0,B4,B4-Forecast!F11-Forecast!F10-Forecast!F12)</f>
        <v>478007348.3725074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0.24948468171700455</v>
      </c>
    </row>
    <row r="7" spans="1:2" x14ac:dyDescent="0.25">
      <c r="A7" t="s">
        <v>58</v>
      </c>
      <c r="B7" s="18">
        <f>-MAX(Forecast!F9,0)*B6</f>
        <v>-119255511.16710432</v>
      </c>
    </row>
    <row r="8" spans="1:2" x14ac:dyDescent="0.25">
      <c r="A8" t="s">
        <v>59</v>
      </c>
      <c r="B8" s="18">
        <f>IF(OR(Assumptions!$B$33=0,Assumptions!B12&lt;=0),B5,MAX(B5+B7,0))</f>
        <v>358751837.2054031</v>
      </c>
    </row>
    <row r="9" spans="1:2" x14ac:dyDescent="0.25">
      <c r="A9" t="s">
        <v>60</v>
      </c>
      <c r="B9" s="18">
        <f>B8*(1+Assumptions!B12)/(Assumptions!B26-Assumptions!B12)</f>
        <v>4889475957.851276</v>
      </c>
    </row>
    <row r="10" spans="1:2" x14ac:dyDescent="0.25">
      <c r="A10" t="s">
        <v>61</v>
      </c>
      <c r="B10" s="18">
        <f>B9/(1+Assumptions!B26)^(5-0.5*Assumptions!B32)</f>
        <v>3181473365.612446</v>
      </c>
    </row>
    <row r="11" spans="1:2" x14ac:dyDescent="0.25">
      <c r="A11" t="s">
        <v>62</v>
      </c>
      <c r="B11" s="18">
        <f>Forecast!B17+B10</f>
        <v>2957486482.8436747</v>
      </c>
    </row>
    <row r="12" spans="1:2" x14ac:dyDescent="0.25">
      <c r="A12" t="s">
        <v>63</v>
      </c>
      <c r="B12" s="18">
        <f>-Assumptions!B30</f>
        <v>278000000</v>
      </c>
    </row>
    <row r="13" spans="1:2" x14ac:dyDescent="0.25">
      <c r="A13" t="s">
        <v>64</v>
      </c>
      <c r="B13" s="18">
        <f>B11+B12</f>
        <v>3235486482.8436747</v>
      </c>
    </row>
    <row r="14" spans="1:2" x14ac:dyDescent="0.25">
      <c r="A14" s="19" t="s">
        <v>65</v>
      </c>
      <c r="B14" s="24">
        <f>B13/Assumptions!B31</f>
        <v>0.7185179841980179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1308151414.3917947</v>
      </c>
    </row>
    <row r="18" spans="1:2" x14ac:dyDescent="0.25">
      <c r="A18" t="s">
        <v>60</v>
      </c>
      <c r="B18" s="18">
        <f>B17*Assumptions!B13</f>
        <v>21603242964.84618</v>
      </c>
    </row>
    <row r="19" spans="1:2" x14ac:dyDescent="0.25">
      <c r="A19" t="s">
        <v>61</v>
      </c>
      <c r="B19" s="18">
        <f>B18/(1+Assumptions!B26)^(5-0.5*Assumptions!B32)</f>
        <v>14056750190.815264</v>
      </c>
    </row>
    <row r="20" spans="1:2" x14ac:dyDescent="0.25">
      <c r="A20" t="s">
        <v>62</v>
      </c>
      <c r="B20" s="18">
        <f>Forecast!B17+B19</f>
        <v>13832763308.046494</v>
      </c>
    </row>
    <row r="21" spans="1:2" x14ac:dyDescent="0.25">
      <c r="A21" t="s">
        <v>63</v>
      </c>
      <c r="B21" s="18">
        <f>-Assumptions!B30</f>
        <v>278000000</v>
      </c>
    </row>
    <row r="22" spans="1:2" x14ac:dyDescent="0.25">
      <c r="A22" t="s">
        <v>64</v>
      </c>
      <c r="B22" s="18">
        <f>B20+B21</f>
        <v>14110763308.046494</v>
      </c>
    </row>
    <row r="23" spans="1:2" x14ac:dyDescent="0.25">
      <c r="A23" s="19" t="s">
        <v>65</v>
      </c>
      <c r="B23" s="25">
        <f>B22/Assumptions!B31</f>
        <v>3.133636088839994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4.93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1.0089429534108567</v>
      </c>
    </row>
    <row r="29" spans="1:2" x14ac:dyDescent="0.25">
      <c r="A29" s="19" t="s">
        <v>73</v>
      </c>
      <c r="B29" s="12">
        <f>B28/B26-1</f>
        <v>-0.7953462569146335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0.080207</v>
      </c>
      <c r="B5" s="31">
        <v>0.9591091738104214</v>
      </c>
      <c r="C5" s="31">
        <v>0.9637855443406627</v>
      </c>
      <c r="D5" s="31">
        <v>0.968461914870904</v>
      </c>
      <c r="E5" s="31">
        <v>0.9731382854011454</v>
      </c>
      <c r="F5" s="31">
        <v>0.9778146559313868</v>
      </c>
    </row>
    <row r="6" spans="1:6" x14ac:dyDescent="0.25">
      <c r="A6" s="30">
        <v>0.090207</v>
      </c>
      <c r="B6" s="31">
        <v>0.820703435384733</v>
      </c>
      <c r="C6" s="31">
        <v>0.8246925089236055</v>
      </c>
      <c r="D6" s="31">
        <v>0.8286815824624779</v>
      </c>
      <c r="E6" s="31">
        <v>0.8326706560013505</v>
      </c>
      <c r="F6" s="31">
        <v>0.8366597295402228</v>
      </c>
    </row>
    <row r="7" spans="1:6" x14ac:dyDescent="0.25">
      <c r="A7" s="30">
        <v>0.100207</v>
      </c>
      <c r="B7" s="31">
        <v>0.7116207240393976</v>
      </c>
      <c r="C7" s="31">
        <v>0.7150671563479941</v>
      </c>
      <c r="D7" s="32">
        <v>0.7185135886565904</v>
      </c>
      <c r="E7" s="31">
        <v>0.7219600209651869</v>
      </c>
      <c r="F7" s="31">
        <v>0.7254064532737832</v>
      </c>
    </row>
    <row r="8" spans="1:6" x14ac:dyDescent="0.25">
      <c r="A8" s="30">
        <v>0.110207</v>
      </c>
      <c r="B8" s="31">
        <v>0.6237899172857544</v>
      </c>
      <c r="C8" s="31">
        <v>0.6267985946886675</v>
      </c>
      <c r="D8" s="31">
        <v>0.6298072720915805</v>
      </c>
      <c r="E8" s="31">
        <v>0.6328159494944938</v>
      </c>
      <c r="F8" s="31">
        <v>0.6358246268974067</v>
      </c>
    </row>
    <row r="9" spans="1:6" x14ac:dyDescent="0.25">
      <c r="A9" s="30">
        <v>0.120207</v>
      </c>
      <c r="B9" s="31">
        <v>0.5518310088549911</v>
      </c>
      <c r="C9" s="31">
        <v>0.5544803055760904</v>
      </c>
      <c r="D9" s="31">
        <v>0.5571296022971896</v>
      </c>
      <c r="E9" s="31">
        <v>0.5597788990182888</v>
      </c>
      <c r="F9" s="31">
        <v>0.5624281957393881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5816000000</v>
      </c>
      <c r="C5" s="18">
        <v>5780000000</v>
      </c>
      <c r="D5" s="18">
        <v>4923000000</v>
      </c>
      <c r="E5" s="18">
        <v>5646000000</v>
      </c>
      <c r="F5" s="8" t="s">
        <v>84</v>
      </c>
    </row>
    <row r="6" spans="1:6" x14ac:dyDescent="0.25">
      <c r="A6" t="s">
        <v>44</v>
      </c>
      <c r="B6" s="18">
        <v>887000000</v>
      </c>
      <c r="C6" s="18">
        <v>943000000</v>
      </c>
      <c r="D6" s="18">
        <v>126000000</v>
      </c>
      <c r="E6" s="18">
        <v>597000000</v>
      </c>
      <c r="F6" s="8" t="s">
        <v>85</v>
      </c>
    </row>
    <row r="7" spans="1:6" x14ac:dyDescent="0.25">
      <c r="A7" t="s">
        <v>86</v>
      </c>
      <c r="B7" s="18">
        <v>434000000</v>
      </c>
      <c r="C7" s="18">
        <v>511000000</v>
      </c>
      <c r="D7" s="18">
        <v>643000000</v>
      </c>
      <c r="E7" s="18">
        <v>653000000</v>
      </c>
      <c r="F7" s="8" t="s">
        <v>87</v>
      </c>
    </row>
    <row r="8" spans="1:6" x14ac:dyDescent="0.25">
      <c r="A8" t="s">
        <v>88</v>
      </c>
      <c r="B8" s="18">
        <v>1134000000</v>
      </c>
      <c r="C8" s="18">
        <v>1003000000</v>
      </c>
      <c r="D8" s="18">
        <v>1121000000</v>
      </c>
      <c r="E8" s="18">
        <v>953000000</v>
      </c>
      <c r="F8" s="8" t="s">
        <v>89</v>
      </c>
    </row>
    <row r="9" spans="1:6" x14ac:dyDescent="0.25">
      <c r="A9" t="s">
        <v>90</v>
      </c>
      <c r="B9" s="18">
        <v>-82000000</v>
      </c>
      <c r="C9" s="18">
        <v>37000000</v>
      </c>
      <c r="D9" s="18">
        <v>94000000</v>
      </c>
      <c r="E9" s="18">
        <v>-10000000</v>
      </c>
      <c r="F9" s="8" t="s">
        <v>91</v>
      </c>
    </row>
    <row r="10" spans="1:6" x14ac:dyDescent="0.25">
      <c r="A10" t="s">
        <v>92</v>
      </c>
      <c r="B10" s="18">
        <v>1851000000</v>
      </c>
      <c r="C10" s="18">
        <v>1634000000</v>
      </c>
      <c r="D10" s="18">
        <v>1566000000</v>
      </c>
      <c r="E10" s="18">
        <v>1741000000</v>
      </c>
      <c r="F10" s="8" t="s">
        <v>93</v>
      </c>
    </row>
    <row r="11" spans="1:6" x14ac:dyDescent="0.25">
      <c r="A11" t="s">
        <v>94</v>
      </c>
      <c r="B11" s="18">
        <v>2129000000</v>
      </c>
      <c r="C11" s="18">
        <v>1676000000</v>
      </c>
      <c r="D11" s="18">
        <v>840000000</v>
      </c>
      <c r="E11" s="18">
        <v>1252000000</v>
      </c>
      <c r="F11" s="8" t="s">
        <v>95</v>
      </c>
    </row>
    <row r="12" spans="1:6" x14ac:dyDescent="0.25">
      <c r="A12" t="s">
        <v>32</v>
      </c>
      <c r="B12" s="34">
        <v>4503000000</v>
      </c>
      <c r="C12" s="34">
        <v>4524000000</v>
      </c>
      <c r="D12" s="34">
        <v>4519000000</v>
      </c>
      <c r="E12" s="34">
        <v>4572000000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2026-09-19T00:06:53Z</dcterms:modified>
</cp:coreProperties>
</file>