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<sst xmlns="http://schemas.openxmlformats.org/spreadsheetml/2006/main" count="112" uniqueCount="100">
  <si>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SATS Ltd. (S58.SI)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</si>
  <si>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</si>
  <si>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</si>
  <si>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</si>
  <si>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</si>
  <si>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</si>
  <si>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</si>
  <si>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</si>
  <si>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</si>
  <si>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</si>
  <si>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</si>
  <si>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</si>
  <si>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</si>
  <si>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</si>
  <si>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</si>
  <si>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</si>
  <si>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</si>
  <si>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</si>
  <si>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</si>
  <si>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</si>
  <si>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</si>
  <si>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</si>
  <si>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</si>
  <si>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</si>
  <si>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</si>
  <si>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</si>
  <si>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</si>
  <si>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</si>
  <si>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</si>
  <si>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</si>
  <si>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2026-03-31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</si>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</sst>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0.04686543589071498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0.0988694358104697</v>
      </c>
    </row>
    <row r="10" spans="1:2" x14ac:dyDescent="0.25">
      <c r="A10" t="s">
        <v>8</v>
      </c>
      <c r="B10" s="6">
        <v>0.04908892013548606</v>
      </c>
    </row>
    <row r="11" spans="1:2" x14ac:dyDescent="0.25">
      <c r="A11" t="s">
        <v>9</v>
      </c>
      <c r="B11" s="6">
        <v>0.02636157225842597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7.891714389392882</v>
      </c>
    </row>
    <row r="14" spans="1:3" x14ac:dyDescent="0.25">
      <c r="A14" t="s">
        <v>12</v>
      </c>
      <c r="B14" s="6">
        <v>0.06962006790773914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0.6877800000000001</v>
      </c>
      <c r="C19" s="8" t="s">
        <v>19</v>
      </c>
    </row>
    <row r="20" spans="1:2" x14ac:dyDescent="0.25">
      <c r="A20" t="s">
        <v>20</v>
      </c>
      <c r="B20" s="10">
        <f>B17+B19*B18</f>
        <v>0.08670570000000001</v>
      </c>
    </row>
    <row r="21" spans="1:3" x14ac:dyDescent="0.25">
      <c r="A21" t="s">
        <v>21</v>
      </c>
      <c r="B21" s="6">
        <v>0.05737333237870218</v>
      </c>
      <c r="C21" s="8" t="s">
        <v>22</v>
      </c>
    </row>
    <row r="22" spans="1:2" x14ac:dyDescent="0.25">
      <c r="A22" t="s">
        <v>23</v>
      </c>
      <c r="B22" s="11">
        <v>5663461376</v>
      </c>
    </row>
    <row r="23" spans="1:2" x14ac:dyDescent="0.25">
      <c r="A23" t="s">
        <v>24</v>
      </c>
      <c r="B23" s="11">
        <v>4136100000</v>
      </c>
    </row>
    <row r="24" spans="1:2" x14ac:dyDescent="0.25">
      <c r="A24" t="s">
        <v>25</v>
      </c>
      <c r="B24" s="10">
        <f>B22/(B22+B23)</f>
        <v>0.577930088776251</v>
      </c>
    </row>
    <row r="25" spans="1:2" x14ac:dyDescent="0.25">
      <c r="A25" t="s">
        <v>26</v>
      </c>
      <c r="B25" s="10">
        <f>1-B24</f>
        <v>0.42206991122374904</v>
      </c>
    </row>
    <row r="26" spans="1:2" x14ac:dyDescent="0.25">
      <c r="A26" t="s">
        <v>27</v>
      </c>
      <c r="B26" s="12">
        <f>B24*B20+B25*B21*(1-B8)</f>
        <v>0.06827150087617409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6345500000</v>
      </c>
      <c r="C29" s="8" t="s">
        <v>30</v>
      </c>
    </row>
    <row r="30" spans="1:2" x14ac:dyDescent="0.25">
      <c r="A30" t="s">
        <v>31</v>
      </c>
      <c r="B30" s="11">
        <v>3383600000</v>
      </c>
    </row>
    <row r="31" spans="1:2" x14ac:dyDescent="0.25">
      <c r="A31" t="s">
        <v>32</v>
      </c>
      <c r="B31" s="13">
        <v>1477100687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9518250000</v>
      </c>
      <c r="C6" s="18">
        <f>B6*(1+C5)</f>
        <v>14277375000</v>
      </c>
      <c r="D6" s="18">
        <f>C6*(1+D5)</f>
        <v>21416062500</v>
      </c>
      <c r="E6" s="18">
        <f>D6*(1+E5)</f>
        <v>32124093750</v>
      </c>
      <c r="F6" s="18">
        <f>E6*(1+F5)</f>
        <v>48186140625</v>
      </c>
    </row>
    <row r="7" spans="1:6" x14ac:dyDescent="0.25">
      <c r="A7" t="s">
        <v>5</v>
      </c>
      <c r="B7" s="10">
        <f>Assumptions!B7</f>
        <v>0.04686543589071498</v>
      </c>
      <c r="C7" s="10">
        <f>Assumptions!B7</f>
        <v>0.04686543589071498</v>
      </c>
      <c r="D7" s="10">
        <f>Assumptions!B7</f>
        <v>0.04686543589071498</v>
      </c>
      <c r="E7" s="10">
        <f>Assumptions!B7</f>
        <v>0.04686543589071498</v>
      </c>
      <c r="F7" s="10">
        <f>Assumptions!B7</f>
        <v>0.04686543589071498</v>
      </c>
    </row>
    <row r="8" spans="1:6" x14ac:dyDescent="0.25">
      <c r="A8" t="s">
        <v>44</v>
      </c>
      <c r="B8" s="18">
        <f>B6*B7</f>
        <v>446076935.1667978</v>
      </c>
      <c r="C8" s="18">
        <f>C6*C7</f>
        <v>669115402.7501968</v>
      </c>
      <c r="D8" s="18">
        <f>D6*D7</f>
        <v>1003673104.1252952</v>
      </c>
      <c r="E8" s="18">
        <f>E6*E7</f>
        <v>1505509656.1879427</v>
      </c>
      <c r="F8" s="18">
        <f>F6*F7</f>
        <v>2258264484.281914</v>
      </c>
    </row>
    <row r="9" spans="1:6" x14ac:dyDescent="0.25">
      <c r="A9" t="s">
        <v>45</v>
      </c>
      <c r="B9" s="18">
        <f>B8*(1-Assumptions!B8)</f>
        <v>334557701.37509835</v>
      </c>
      <c r="C9" s="18">
        <f>C8*(1-Assumptions!B8)</f>
        <v>501836552.0626476</v>
      </c>
      <c r="D9" s="18">
        <f>D8*(1-Assumptions!B8)</f>
        <v>752754828.0939714</v>
      </c>
      <c r="E9" s="18">
        <f>E8*(1-Assumptions!B8)</f>
        <v>1129132242.140957</v>
      </c>
      <c r="F9" s="18">
        <f>F8*(1-Assumptions!B8)</f>
        <v>1693698363.2114358</v>
      </c>
    </row>
    <row r="10" spans="1:6" x14ac:dyDescent="0.25">
      <c r="A10" t="s">
        <v>46</v>
      </c>
      <c r="B10" s="18">
        <f>B6*Assumptions!B9</f>
        <v>941064007.4030032</v>
      </c>
      <c r="C10" s="18">
        <f>C6*Assumptions!B9</f>
        <v>1411596011.1045048</v>
      </c>
      <c r="D10" s="18">
        <f>D6*Assumptions!B9</f>
        <v>2117394016.656757</v>
      </c>
      <c r="E10" s="18">
        <f>E6*Assumptions!B9</f>
        <v>3176091024.9851356</v>
      </c>
      <c r="F10" s="18">
        <f>F6*Assumptions!B9</f>
        <v>4764136537.477704</v>
      </c>
    </row>
    <row r="11" spans="1:6" x14ac:dyDescent="0.25">
      <c r="A11" t="s">
        <v>47</v>
      </c>
      <c r="B11" s="18">
        <f>-B6*Assumptions!B10</f>
        <v>-467240614.0795902</v>
      </c>
      <c r="C11" s="18">
        <f>-C6*Assumptions!B10</f>
        <v>-700860921.1193852</v>
      </c>
      <c r="D11" s="18">
        <f>-D6*Assumptions!B10</f>
        <v>-1051291381.679078</v>
      </c>
      <c r="E11" s="18">
        <f>-E6*Assumptions!B10</f>
        <v>-1576937072.518617</v>
      </c>
      <c r="F11" s="18">
        <f>-F6*Assumptions!B10</f>
        <v>-2365405608.7779255</v>
      </c>
    </row>
    <row r="12" spans="1:6" x14ac:dyDescent="0.25">
      <c r="A12" t="s">
        <v>48</v>
      </c>
      <c r="B12" s="18">
        <f>-(B6-Assumptions!B29)*Assumptions!B11</f>
        <v>-83638678.382921</v>
      </c>
      <c r="C12" s="18">
        <f>-(C6-B6)*Assumptions!B11</f>
        <v>-125458017.5743815</v>
      </c>
      <c r="D12" s="18">
        <f>-(D6-C6)*Assumptions!B11</f>
        <v>-188187026.36157227</v>
      </c>
      <c r="E12" s="18">
        <f>-(E6-D6)*Assumptions!B11</f>
        <v>-282280539.5423584</v>
      </c>
      <c r="F12" s="18">
        <f>-(F6-E6)*Assumptions!B11</f>
        <v>-423420809.31353754</v>
      </c>
    </row>
    <row r="13" spans="1:6" x14ac:dyDescent="0.25">
      <c r="A13" s="19" t="s">
        <v>49</v>
      </c>
      <c r="B13" s="20">
        <f>B9+B10+B11+B12</f>
        <v>724742416.3155903</v>
      </c>
      <c r="C13" s="20">
        <f>C9+C10+C11+C12</f>
        <v>1087113624.4733856</v>
      </c>
      <c r="D13" s="20">
        <f>D9+D10+D11+D12</f>
        <v>1630670436.7100782</v>
      </c>
      <c r="E13" s="20">
        <f>E9+E10+E11+E12</f>
        <v>2446005655.065118</v>
      </c>
      <c r="F13" s="20">
        <f>F9+F10+F11+F12</f>
        <v>3669008482.597677</v>
      </c>
    </row>
    <row r="14" spans="1:6" x14ac:dyDescent="0.25">
      <c r="A14" t="s">
        <v>50</v>
      </c>
      <c r="B14" s="21">
        <f>1/(1+Assumptions!$B$26)^(1-0.5*Assumptions!$B$32)</f>
        <v>0.9675182789672373</v>
      </c>
      <c r="C14" s="21">
        <f>1/(1+Assumptions!$B$26)^(2-0.5*Assumptions!$B$32)</f>
        <v>0.9056857532693691</v>
      </c>
      <c r="D14" s="21">
        <f>1/(1+Assumptions!$B$26)^(3-0.5*Assumptions!$B$32)</f>
        <v>0.8478048441117679</v>
      </c>
      <c r="E14" s="21">
        <f>1/(1+Assumptions!$B$26)^(4-0.5*Assumptions!$B$32)</f>
        <v>0.7936230100835003</v>
      </c>
      <c r="F14" s="21">
        <f>1/(1+Assumptions!$B$26)^(5-0.5*Assumptions!$B$32)</f>
        <v>0.7429038492860544</v>
      </c>
    </row>
    <row r="15" spans="1:6" x14ac:dyDescent="0.25">
      <c r="A15" s="19" t="s">
        <v>51</v>
      </c>
      <c r="B15" s="20">
        <f>B13*B14</f>
        <v>701201535.3282169</v>
      </c>
      <c r="C15" s="20">
        <f>C13*C14</f>
        <v>984583321.8705722</v>
      </c>
      <c r="D15" s="20">
        <f>D13*D14</f>
        <v>1382490295.3926563</v>
      </c>
      <c r="E15" s="20">
        <f>E13*E14</f>
        <v>1941206370.654043</v>
      </c>
      <c r="F15" s="20">
        <f>F13*F14</f>
        <v>2725720524.785</v>
      </c>
    </row>
    <row r="17" spans="1:2" x14ac:dyDescent="0.25">
      <c r="A17" s="22" t="s">
        <v>52</v>
      </c>
      <c r="B17" s="23">
        <f>SUM(B15:F15)</f>
        <v>7735202048.030488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3669008482.597677</v>
      </c>
    </row>
    <row r="5" spans="1:2" x14ac:dyDescent="0.25">
      <c r="A5" t="s">
        <v>56</v>
      </c>
      <c r="B5" s="18">
        <f>IF(Assumptions!$B$33=0,B4,B4-Forecast!F11-Forecast!F10-Forecast!F12)</f>
        <v>1897887761.4713764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0.3590918646205592</v>
      </c>
    </row>
    <row r="7" spans="1:2" x14ac:dyDescent="0.25">
      <c r="A7" t="s">
        <v>58</v>
      </c>
      <c r="B7" s="18">
        <f>-MAX(Forecast!F9,0)*B6</f>
        <v>-681516055.1072956</v>
      </c>
    </row>
    <row r="8" spans="1:2" x14ac:dyDescent="0.25">
      <c r="A8" t="s">
        <v>59</v>
      </c>
      <c r="B8" s="18">
        <f>IF(OR(Assumptions!$B$33=0,Assumptions!B12&lt;=0),B5,MAX(B5+B7,0))</f>
        <v>1216371706.364081</v>
      </c>
    </row>
    <row r="9" spans="1:2" x14ac:dyDescent="0.25">
      <c r="A9" t="s">
        <v>60</v>
      </c>
      <c r="B9" s="18">
        <f>B8*(1+Assumptions!B12)/(Assumptions!B26-Assumptions!B12)</f>
        <v>28812982535.34068</v>
      </c>
    </row>
    <row r="10" spans="1:2" x14ac:dyDescent="0.25">
      <c r="A10" t="s">
        <v>61</v>
      </c>
      <c r="B10" s="18">
        <f>B9/(1+Assumptions!B26)^(5-0.5*Assumptions!B32)</f>
        <v>21405275634.916447</v>
      </c>
    </row>
    <row r="11" spans="1:2" x14ac:dyDescent="0.25">
      <c r="A11" t="s">
        <v>62</v>
      </c>
      <c r="B11" s="18">
        <f>Forecast!B17+B10</f>
        <v>29140477682.946934</v>
      </c>
    </row>
    <row r="12" spans="1:2" x14ac:dyDescent="0.25">
      <c r="A12" t="s">
        <v>63</v>
      </c>
      <c r="B12" s="18">
        <f>-Assumptions!B30</f>
        <v>-3383600000</v>
      </c>
    </row>
    <row r="13" spans="1:2" x14ac:dyDescent="0.25">
      <c r="A13" t="s">
        <v>64</v>
      </c>
      <c r="B13" s="18">
        <f>B11+B12</f>
        <v>25756877682.946934</v>
      </c>
    </row>
    <row r="14" spans="1:2" x14ac:dyDescent="0.25">
      <c r="A14" s="19" t="s">
        <v>65</v>
      </c>
      <c r="B14" s="24">
        <f>B13/Assumptions!B31</f>
        <v>17.437455624815463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7022401021.759619</v>
      </c>
    </row>
    <row r="18" spans="1:2" x14ac:dyDescent="0.25">
      <c r="A18" t="s">
        <v>60</v>
      </c>
      <c r="B18" s="18">
        <f>B17*Assumptions!B13</f>
        <v>55418783191.50766</v>
      </c>
    </row>
    <row r="19" spans="1:2" x14ac:dyDescent="0.25">
      <c r="A19" t="s">
        <v>61</v>
      </c>
      <c r="B19" s="18">
        <f>B18/(1+Assumptions!B26)^(5-0.5*Assumptions!B32)</f>
        <v>41170827355.72033</v>
      </c>
    </row>
    <row r="20" spans="1:2" x14ac:dyDescent="0.25">
      <c r="A20" t="s">
        <v>62</v>
      </c>
      <c r="B20" s="18">
        <f>Forecast!B17+B19</f>
        <v>48906029403.75082</v>
      </c>
    </row>
    <row r="21" spans="1:2" x14ac:dyDescent="0.25">
      <c r="A21" t="s">
        <v>63</v>
      </c>
      <c r="B21" s="18">
        <f>-Assumptions!B30</f>
        <v>-3383600000</v>
      </c>
    </row>
    <row r="22" spans="1:2" x14ac:dyDescent="0.25">
      <c r="A22" t="s">
        <v>64</v>
      </c>
      <c r="B22" s="18">
        <f>B20+B21</f>
        <v>45522429403.75082</v>
      </c>
    </row>
    <row r="23" spans="1:2" x14ac:dyDescent="0.25">
      <c r="A23" s="19" t="s">
        <v>65</v>
      </c>
      <c r="B23" s="25">
        <f>B22/Assumptions!B31</f>
        <v>30.818772074507077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3.81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17.437455624815463</v>
      </c>
    </row>
    <row r="29" spans="1:2" x14ac:dyDescent="0.25">
      <c r="A29" s="19" t="s">
        <v>73</v>
      </c>
      <c r="B29" s="12">
        <f>B28/B26-1</f>
        <v>3.576760006513245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0.048272</v>
      </c>
      <c r="B5" s="31">
        <v>28.141911193310328</v>
      </c>
      <c r="C5" s="31">
        <v>29.99221119733773</v>
      </c>
      <c r="D5" s="31">
        <v>32.60551458676647</v>
      </c>
      <c r="E5" s="31">
        <v>36.60819235442824</v>
      </c>
      <c r="F5" s="31">
        <v>43.57051391514335</v>
      </c>
    </row>
    <row r="6" spans="1:6" x14ac:dyDescent="0.25">
      <c r="A6" s="30">
        <v>0.058272</v>
      </c>
      <c r="B6" s="31">
        <v>21.428994073411506</v>
      </c>
      <c r="C6" s="31">
        <v>22.019118885545257</v>
      </c>
      <c r="D6" s="31">
        <v>22.765112898782057</v>
      </c>
      <c r="E6" s="31">
        <v>23.749674118800527</v>
      </c>
      <c r="F6" s="31">
        <v>25.126571370872444</v>
      </c>
    </row>
    <row r="7" spans="1:6" x14ac:dyDescent="0.25">
      <c r="A7" s="30">
        <v>0.068272</v>
      </c>
      <c r="B7" s="31">
        <v>17.214490378820063</v>
      </c>
      <c r="C7" s="31">
        <v>17.32143435691732</v>
      </c>
      <c r="D7" s="32">
        <v>17.43725030440268</v>
      </c>
      <c r="E7" s="31">
        <v>17.56541542499746</v>
      </c>
      <c r="F7" s="31">
        <v>17.711497090565118</v>
      </c>
    </row>
    <row r="8" spans="1:6" x14ac:dyDescent="0.25">
      <c r="A8" s="30">
        <v>0.078272</v>
      </c>
      <c r="B8" s="31">
        <v>14.664868411225878</v>
      </c>
      <c r="C8" s="31">
        <v>14.72334021928187</v>
      </c>
      <c r="D8" s="31">
        <v>14.78181202733786</v>
      </c>
      <c r="E8" s="31">
        <v>14.840283835393853</v>
      </c>
      <c r="F8" s="31">
        <v>14.89875564344984</v>
      </c>
    </row>
    <row r="9" spans="1:6" x14ac:dyDescent="0.25">
      <c r="A9" s="30">
        <v>0.088272</v>
      </c>
      <c r="B9" s="31">
        <v>12.747397913136831</v>
      </c>
      <c r="C9" s="31">
        <v>12.797135981336295</v>
      </c>
      <c r="D9" s="31">
        <v>12.846874049535755</v>
      </c>
      <c r="E9" s="31">
        <v>12.896612117735218</v>
      </c>
      <c r="F9" s="31">
        <v>12.94635018593468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6345500000</v>
      </c>
      <c r="C5" s="18">
        <v>5821100000</v>
      </c>
      <c r="D5" s="18">
        <v>5149600000</v>
      </c>
      <c r="E5" s="18">
        <v>1758300000</v>
      </c>
      <c r="F5" s="8" t="s">
        <v>84</v>
      </c>
    </row>
    <row r="6" spans="1:6" x14ac:dyDescent="0.25">
      <c r="A6" t="s">
        <v>44</v>
      </c>
      <c r="B6" s="18">
        <v>543300000</v>
      </c>
      <c r="C6" s="18">
        <v>475700000</v>
      </c>
      <c r="D6" s="18">
        <v>244200000</v>
      </c>
      <c r="E6" s="18">
        <v>-48000000</v>
      </c>
      <c r="F6" s="8" t="s">
        <v>85</v>
      </c>
    </row>
    <row r="7" spans="1:6" x14ac:dyDescent="0.25">
      <c r="A7" t="s">
        <v>86</v>
      </c>
      <c r="B7" s="18">
        <v>603100000</v>
      </c>
      <c r="C7" s="18">
        <v>560500000</v>
      </c>
      <c r="D7" s="18">
        <v>536400000</v>
      </c>
      <c r="E7" s="18">
        <v>175800000</v>
      </c>
      <c r="F7" s="8" t="s">
        <v>87</v>
      </c>
    </row>
    <row r="8" spans="1:6" x14ac:dyDescent="0.25">
      <c r="A8" t="s">
        <v>88</v>
      </c>
      <c r="B8" s="18">
        <v>344700000</v>
      </c>
      <c r="C8" s="18">
        <v>221700000</v>
      </c>
      <c r="D8" s="18">
        <v>185600000</v>
      </c>
      <c r="E8" s="18">
        <v>119400000</v>
      </c>
      <c r="F8" s="8" t="s">
        <v>89</v>
      </c>
    </row>
    <row r="9" spans="1:6" x14ac:dyDescent="0.25">
      <c r="A9" t="s">
        <v>90</v>
      </c>
      <c r="B9" s="18">
        <v>-24700000</v>
      </c>
      <c r="C9" s="18">
        <v>41100000</v>
      </c>
      <c r="D9" s="18">
        <v>89400000</v>
      </c>
      <c r="E9" s="18">
        <v>-8000000</v>
      </c>
      <c r="F9" s="8" t="s">
        <v>91</v>
      </c>
    </row>
    <row r="10" spans="1:6" x14ac:dyDescent="0.25">
      <c r="A10" t="s">
        <v>92</v>
      </c>
      <c r="B10" s="18">
        <v>4136100000</v>
      </c>
      <c r="C10" s="18">
        <v>4244100000</v>
      </c>
      <c r="D10" s="18">
        <v>4103100000</v>
      </c>
      <c r="E10" s="18">
        <v>1478400000</v>
      </c>
      <c r="F10" s="8" t="s">
        <v>93</v>
      </c>
    </row>
    <row r="11" spans="1:6" x14ac:dyDescent="0.25">
      <c r="A11" t="s">
        <v>94</v>
      </c>
      <c r="B11" s="18">
        <v>752500000</v>
      </c>
      <c r="C11" s="18">
        <v>694000000</v>
      </c>
      <c r="D11" s="18">
        <v>659000000</v>
      </c>
      <c r="E11" s="18">
        <v>374400000</v>
      </c>
      <c r="F11" s="8" t="s">
        <v>95</v>
      </c>
    </row>
    <row r="12" spans="1:6" x14ac:dyDescent="0.25">
      <c r="A12" t="s">
        <v>32</v>
      </c>
      <c r="B12" s="34">
        <v>1477100687</v>
      </c>
      <c r="C12" s="34">
        <v>1504600000</v>
      </c>
      <c r="D12" s="34">
        <v>1491400000</v>
      </c>
      <c r="E12" s="34">
        <v>1196600000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2026-09-19T01:06:38Z</dcterms:modified>
</cp:coreProperties>
</file>