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<sst xmlns="http://schemas.openxmlformats.org/spreadsheetml/2006/main" count="114" uniqueCount="102">
  <si>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Singapore Exchange Limited (S68.SI)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</si>
  <si>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</si>
  <si>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</si>
  <si>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</si>
  <si>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</si>
  <si>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</si>
  <si>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</si>
  <si>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</si>
  <si>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</si>
  <si>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</si>
  <si>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</si>
  <si>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</si>
  <si>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</si>
  <si>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</si>
  <si>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</si>
  <si>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</si>
  <si>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</si>
  <si>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</si>
  <si>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</si>
  <si>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</si>
  <si>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</si>
  <si>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</si>
  <si>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</si>
  <si>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</si>
  <si>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</si>
  <si>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</si>
  <si>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</si>
  <si>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</si>
  <si>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</si>
  <si>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</si>
  <si>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2026-06-30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</si>
  <si>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</si>
  <si>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</si>
  <si>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</si>
  <si>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</si>
  <si>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</si>
  <si>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</si>
  <si>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</si>
  <si>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</si>
  <si>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</si>
  <si>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</si>
  <si>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</si>
  <si>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</si>
  <si>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</si>
  <si>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</si>
  <si>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</si>
  <si>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</si>
  <si>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</si>
  <si>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</si>
  <si>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</si>
  <si>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</si>
  <si>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</si>
  <si>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</si>
  <si>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</si>
  <si>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</si>
  <si>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</si>
  <si>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</si>
  <si>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</si>
  <si>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</si>
  <si>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</si>
  <si>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</si>
  <si>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</si>
  <si>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</si>
  <si>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</si>
  <si>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</si>
  <si>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</si>
  <si>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</si>
  <si>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</si>
  <si>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</si>
  <si>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</si>
  <si>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</si>
  <si>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</si>
  <si>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</si>
  <si>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</si>
  <si>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</si>
  <si>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</si>
  <si>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</si>
  <si>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</si>
  <si>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</si>
  <si>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</si>
  <si>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</si>
  <si>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</si>
  <si>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</si>
  <si>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</si>
  <si>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</si>
  <si>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</si>
  <si>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</si>
  <si>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</si>
  <si>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</si>
  <si>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</si>
  <si>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</si>
  <si>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</si>
  <si>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</si>
  <si>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</si>
  <si>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</si>
  <si>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</si>
  <si>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</si>
  <si>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</si>
  <si>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</si>
  <si>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</si>
  <si>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Current EV/EBITDA of 22.9x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</si>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</sst>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0.09296942775106376</v>
      </c>
    </row>
    <row r="7" spans="1:2" x14ac:dyDescent="0.25">
      <c r="A7" t="s">
        <v>5</v>
      </c>
      <c r="B7" s="6">
        <v>0.524588136562634</v>
      </c>
    </row>
    <row r="8" spans="1:2" x14ac:dyDescent="0.25">
      <c r="A8" t="s">
        <v>6</v>
      </c>
      <c r="B8" s="6">
        <v>0.16623526033538136</v>
      </c>
    </row>
    <row r="9" spans="1:2" x14ac:dyDescent="0.25">
      <c r="A9" t="s">
        <v>7</v>
      </c>
      <c r="B9" s="6">
        <v>0.06869277328057502</v>
      </c>
    </row>
    <row r="10" spans="1:2" x14ac:dyDescent="0.25">
      <c r="A10" t="s">
        <v>8</v>
      </c>
      <c r="B10" s="6">
        <v>0.050028758592698994</v>
      </c>
    </row>
    <row r="11" spans="1:2" x14ac:dyDescent="0.25">
      <c r="A11" t="s">
        <v>9</v>
      </c>
      <c r="B11" s="6">
        <v>-0.0334773675626443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0.21255782648879595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0.50554</v>
      </c>
      <c r="C19" s="8" t="s">
        <v>19</v>
      </c>
    </row>
    <row r="20" spans="1:2" x14ac:dyDescent="0.25">
      <c r="A20" t="s">
        <v>20</v>
      </c>
      <c r="B20" s="10">
        <f>B17+B19*B18</f>
        <v>0.07486010000000001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23772725248</v>
      </c>
    </row>
    <row r="23" spans="1:2" x14ac:dyDescent="0.25">
      <c r="A23" t="s">
        <v>24</v>
      </c>
      <c r="B23" s="11">
        <v>675826000</v>
      </c>
    </row>
    <row r="24" spans="1:2" x14ac:dyDescent="0.25">
      <c r="A24" t="s">
        <v>25</v>
      </c>
      <c r="B24" s="10">
        <f>B22/(B22+B23)</f>
        <v>0.9723572168696382</v>
      </c>
    </row>
    <row r="25" spans="1:2" x14ac:dyDescent="0.25">
      <c r="A25" t="s">
        <v>26</v>
      </c>
      <c r="B25" s="10">
        <f>1-B24</f>
        <v>0.027642783130361837</v>
      </c>
    </row>
    <row r="26" spans="1:2" x14ac:dyDescent="0.25">
      <c r="A26" t="s">
        <v>27</v>
      </c>
      <c r="B26" s="12">
        <f>B24*B20+B25*B21*(1-B8)</f>
        <v>0.07375875676155505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1559469000</v>
      </c>
      <c r="C29" s="8" t="s">
        <v>30</v>
      </c>
    </row>
    <row r="30" spans="1:2" x14ac:dyDescent="0.25">
      <c r="A30" t="s">
        <v>31</v>
      </c>
      <c r="B30" s="11">
        <v>-1562370000</v>
      </c>
    </row>
    <row r="31" spans="1:2" x14ac:dyDescent="0.25">
      <c r="A31" t="s">
        <v>32</v>
      </c>
      <c r="B31" s="13">
        <v>1068617977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0.09296942775106376</v>
      </c>
      <c r="C5" s="10">
        <f>Assumptions!B6</f>
        <v>0.09296942775106376</v>
      </c>
      <c r="D5" s="10">
        <f>Assumptions!B6</f>
        <v>0.09296942775106376</v>
      </c>
      <c r="E5" s="10">
        <f>Assumptions!B6</f>
        <v>0.09296942775106376</v>
      </c>
      <c r="F5" s="10">
        <f>Assumptions!B6</f>
        <v>0.09296942775106376</v>
      </c>
    </row>
    <row r="6" spans="1:6" x14ac:dyDescent="0.25">
      <c r="A6" t="s">
        <v>43</v>
      </c>
      <c r="B6" s="18">
        <f>Assumptions!B29*(1+B5)</f>
        <v>1704451940.5255237</v>
      </c>
      <c r="C6" s="18">
        <f>B6*(1+C5)</f>
        <v>1862913862.0653718</v>
      </c>
      <c r="D6" s="18">
        <f>C6*(1+D5)</f>
        <v>2036107897.7711134</v>
      </c>
      <c r="E6" s="18">
        <f>D6*(1+E5)</f>
        <v>2225403683.8663154</v>
      </c>
      <c r="F6" s="18">
        <f>E6*(1+F5)</f>
        <v>2432298190.870476</v>
      </c>
    </row>
    <row r="7" spans="1:6" x14ac:dyDescent="0.25">
      <c r="A7" t="s">
        <v>5</v>
      </c>
      <c r="B7" s="10">
        <f>Assumptions!B7</f>
        <v>0.524588136562634</v>
      </c>
      <c r="C7" s="10">
        <f>Assumptions!B7</f>
        <v>0.524588136562634</v>
      </c>
      <c r="D7" s="10">
        <f>Assumptions!B7</f>
        <v>0.524588136562634</v>
      </c>
      <c r="E7" s="10">
        <f>Assumptions!B7</f>
        <v>0.524588136562634</v>
      </c>
      <c r="F7" s="10">
        <f>Assumptions!B7</f>
        <v>0.524588136562634</v>
      </c>
    </row>
    <row r="8" spans="1:6" x14ac:dyDescent="0.25">
      <c r="A8" t="s">
        <v>44</v>
      </c>
      <c r="B8" s="18">
        <f>B6*B7</f>
        <v>894135267.34085</v>
      </c>
      <c r="C8" s="18">
        <f>C6*C7</f>
        <v>977262511.4775733</v>
      </c>
      <c r="D8" s="18">
        <f>D6*D7</f>
        <v>1068118047.9322106</v>
      </c>
      <c r="E8" s="18">
        <f>E6*E7</f>
        <v>1167420371.6190515</v>
      </c>
      <c r="F8" s="18">
        <f>F6*F7</f>
        <v>1275954775.513409</v>
      </c>
    </row>
    <row r="9" spans="1:6" x14ac:dyDescent="0.25">
      <c r="A9" t="s">
        <v>45</v>
      </c>
      <c r="B9" s="18">
        <f>B8*(1-Assumptions!B8)</f>
        <v>745498458.399398</v>
      </c>
      <c r="C9" s="18">
        <f>C8*(1-Assumptions!B8)</f>
        <v>814807023.4660902</v>
      </c>
      <c r="D9" s="18">
        <f>D8*(1-Assumptions!B8)</f>
        <v>890559166.1652802</v>
      </c>
      <c r="E9" s="18">
        <f>E8*(1-Assumptions!B8)</f>
        <v>973353942.2221308</v>
      </c>
      <c r="F9" s="18">
        <f>F8*(1-Assumptions!B8)</f>
        <v>1063846101.2297642</v>
      </c>
    </row>
    <row r="10" spans="1:6" x14ac:dyDescent="0.25">
      <c r="A10" t="s">
        <v>46</v>
      </c>
      <c r="B10" s="18">
        <f>B6*Assumptions!B9</f>
        <v>117083530.71815594</v>
      </c>
      <c r="C10" s="18">
        <f>C6*Assumptions!B9</f>
        <v>127968719.56809698</v>
      </c>
      <c r="D10" s="18">
        <f>D6*Assumptions!B9</f>
        <v>139865898.1963793</v>
      </c>
      <c r="E10" s="18">
        <f>E6*Assumptions!B9</f>
        <v>152869150.71358526</v>
      </c>
      <c r="F10" s="18">
        <f>F6*Assumptions!B9</f>
        <v>167081308.1762184</v>
      </c>
    </row>
    <row r="11" spans="1:6" x14ac:dyDescent="0.25">
      <c r="A11" t="s">
        <v>47</v>
      </c>
      <c r="B11" s="18">
        <f>-B6*Assumptions!B10</f>
        <v>-85271614.66540876</v>
      </c>
      <c r="C11" s="18">
        <f>-C6*Assumptions!B10</f>
        <v>-93199267.88426104</v>
      </c>
      <c r="D11" s="18">
        <f>-D6*Assumptions!B10</f>
        <v>-101863950.48627888</v>
      </c>
      <c r="E11" s="18">
        <f>-E6*Assumptions!B10</f>
        <v>-111334183.67145091</v>
      </c>
      <c r="F11" s="18">
        <f>-F6*Assumptions!B10</f>
        <v>-121684859.01651753</v>
      </c>
    </row>
    <row r="12" spans="1:6" x14ac:dyDescent="0.25">
      <c r="A12" t="s">
        <v>48</v>
      </c>
      <c r="B12" s="18">
        <f>-(B6-Assumptions!B29)*Assumptions!B11</f>
        <v>4853647.190285954</v>
      </c>
      <c r="C12" s="18">
        <f>-(C6-B6)*Assumptions!B11</f>
        <v>5304887.992072397</v>
      </c>
      <c r="D12" s="18">
        <f>-(D6-C6)*Assumptions!B11</f>
        <v>5798080.3929788545</v>
      </c>
      <c r="E12" s="18">
        <f>-(E6-D6)*Assumptions!B11</f>
        <v>6337124.609168768</v>
      </c>
      <c r="F12" s="18">
        <f>-(F6-E6)*Assumptions!B11</f>
        <v>6926283.457670364</v>
      </c>
    </row>
    <row r="13" spans="1:6" x14ac:dyDescent="0.25">
      <c r="A13" s="19" t="s">
        <v>49</v>
      </c>
      <c r="B13" s="20">
        <f>B9+B10+B11+B12</f>
        <v>782164021.6424311</v>
      </c>
      <c r="C13" s="20">
        <f>C9+C10+C11+C12</f>
        <v>854881363.1419985</v>
      </c>
      <c r="D13" s="20">
        <f>D9+D10+D11+D12</f>
        <v>934359194.2683595</v>
      </c>
      <c r="E13" s="20">
        <f>E9+E10+E11+E12</f>
        <v>1021226033.8734341</v>
      </c>
      <c r="F13" s="20">
        <f>F9+F10+F11+F12</f>
        <v>1116168833.8471353</v>
      </c>
    </row>
    <row r="14" spans="1:6" x14ac:dyDescent="0.25">
      <c r="A14" t="s">
        <v>50</v>
      </c>
      <c r="B14" s="21">
        <f>1/(1+Assumptions!$B$26)^(1-0.5*Assumptions!$B$32)</f>
        <v>0.9650429462037392</v>
      </c>
      <c r="C14" s="21">
        <f>1/(1+Assumptions!$B$26)^(2-0.5*Assumptions!$B$32)</f>
        <v>0.8987521080752798</v>
      </c>
      <c r="D14" s="21">
        <f>1/(1+Assumptions!$B$26)^(3-0.5*Assumptions!$B$32)</f>
        <v>0.8370149276229483</v>
      </c>
      <c r="E14" s="21">
        <f>1/(1+Assumptions!$B$26)^(4-0.5*Assumptions!$B$32)</f>
        <v>0.7795186044837262</v>
      </c>
      <c r="F14" s="21">
        <f>1/(1+Assumptions!$B$26)^(5-0.5*Assumptions!$B$32)</f>
        <v>0.7259718252121604</v>
      </c>
    </row>
    <row r="15" spans="1:6" x14ac:dyDescent="0.25">
      <c r="A15" s="19" t="s">
        <v>51</v>
      </c>
      <c r="B15" s="20">
        <f>B13*B14</f>
        <v>754821871.860377</v>
      </c>
      <c r="C15" s="20">
        <f>C13*C14</f>
        <v>768326427.27814</v>
      </c>
      <c r="D15" s="20">
        <f>D13*D14</f>
        <v>782072593.3643672</v>
      </c>
      <c r="E15" s="20">
        <f>E13*E14</f>
        <v>796064692.7874699</v>
      </c>
      <c r="F15" s="20">
        <f>F13*F14</f>
        <v>810307125.5529335</v>
      </c>
    </row>
    <row r="17" spans="1:2" x14ac:dyDescent="0.25">
      <c r="A17" s="22" t="s">
        <v>52</v>
      </c>
      <c r="B17" s="23">
        <f>SUM(B15:F15)</f>
        <v>3911592710.8432875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1116168833.8471353</v>
      </c>
    </row>
    <row r="5" spans="1:2" x14ac:dyDescent="0.25">
      <c r="A5" t="s">
        <v>56</v>
      </c>
      <c r="B5" s="18">
        <f>IF(Assumptions!$B$33=0,B4,B4-Forecast!F11-Forecast!F10-Forecast!F12)</f>
        <v>1082281820.260778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0.1176150528680616</v>
      </c>
    </row>
    <row r="7" spans="1:2" x14ac:dyDescent="0.25">
      <c r="A7" t="s">
        <v>58</v>
      </c>
      <c r="B7" s="18">
        <f>-MAX(Forecast!F9,0)*B6</f>
        <v>-127292633.50811335</v>
      </c>
    </row>
    <row r="8" spans="1:2" x14ac:dyDescent="0.25">
      <c r="A8" t="s">
        <v>59</v>
      </c>
      <c r="B8" s="18">
        <f>IF(OR(Assumptions!$B$33=0,Assumptions!B12&lt;=0),B5,MAX(B5+B7,0))</f>
        <v>954989186.7526646</v>
      </c>
    </row>
    <row r="9" spans="1:2" x14ac:dyDescent="0.25">
      <c r="A9" t="s">
        <v>60</v>
      </c>
      <c r="B9" s="18">
        <f>B8*(1+Assumptions!B12)/(Assumptions!B26-Assumptions!B12)</f>
        <v>20075653717.103973</v>
      </c>
    </row>
    <row r="10" spans="1:2" x14ac:dyDescent="0.25">
      <c r="A10" t="s">
        <v>61</v>
      </c>
      <c r="B10" s="18">
        <f>B9/(1+Assumptions!B26)^(5-0.5*Assumptions!B32)</f>
        <v>14574358971.333263</v>
      </c>
    </row>
    <row r="11" spans="1:2" x14ac:dyDescent="0.25">
      <c r="A11" t="s">
        <v>62</v>
      </c>
      <c r="B11" s="18">
        <f>Forecast!B17+B10</f>
        <v>18485951682.17655</v>
      </c>
    </row>
    <row r="12" spans="1:2" x14ac:dyDescent="0.25">
      <c r="A12" t="s">
        <v>63</v>
      </c>
      <c r="B12" s="18">
        <f>-Assumptions!B30</f>
        <v>1562370000</v>
      </c>
    </row>
    <row r="13" spans="1:2" x14ac:dyDescent="0.25">
      <c r="A13" t="s">
        <v>64</v>
      </c>
      <c r="B13" s="18">
        <f>B11+B12</f>
        <v>20048321682.17655</v>
      </c>
    </row>
    <row r="14" spans="1:2" x14ac:dyDescent="0.25">
      <c r="A14" s="19" t="s">
        <v>65</v>
      </c>
      <c r="B14" s="24">
        <f>B13/Assumptions!B31</f>
        <v>18.76098111175286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1443036083.6896272</v>
      </c>
    </row>
    <row r="18" spans="1:2" x14ac:dyDescent="0.25">
      <c r="A18" t="s">
        <v>60</v>
      </c>
      <c r="B18" s="18">
        <f>B17*Assumptions!B13</f>
        <v>28860721673.79254</v>
      </c>
    </row>
    <row r="19" spans="1:2" x14ac:dyDescent="0.25">
      <c r="A19" t="s">
        <v>61</v>
      </c>
      <c r="B19" s="18">
        <f>B18/(1+Assumptions!B26)^(5-0.5*Assumptions!B32)</f>
        <v>20952070790.46333</v>
      </c>
    </row>
    <row r="20" spans="1:2" x14ac:dyDescent="0.25">
      <c r="A20" t="s">
        <v>62</v>
      </c>
      <c r="B20" s="18">
        <f>Forecast!B17+B19</f>
        <v>24863663501.306618</v>
      </c>
    </row>
    <row r="21" spans="1:2" x14ac:dyDescent="0.25">
      <c r="A21" t="s">
        <v>63</v>
      </c>
      <c r="B21" s="18">
        <f>-Assumptions!B30</f>
        <v>1562370000</v>
      </c>
    </row>
    <row r="22" spans="1:2" x14ac:dyDescent="0.25">
      <c r="A22" t="s">
        <v>64</v>
      </c>
      <c r="B22" s="18">
        <f>B20+B21</f>
        <v>26426033501.306618</v>
      </c>
    </row>
    <row r="23" spans="1:2" x14ac:dyDescent="0.25">
      <c r="A23" s="19" t="s">
        <v>65</v>
      </c>
      <c r="B23" s="25">
        <f>B22/Assumptions!B31</f>
        <v>24.72916801895297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18.76098111175286</v>
      </c>
    </row>
    <row r="29" spans="1:2" x14ac:dyDescent="0.25">
      <c r="A29" s="19" t="s">
        <v>73</v>
      </c>
      <c r="B29" s="12">
        <f>B28/B26-1</f>
        <v>-0.15491076073185317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0.053759</v>
      </c>
      <c r="B5" s="31">
        <v>24.77822809033056</v>
      </c>
      <c r="C5" s="31">
        <v>27.20419078799309</v>
      </c>
      <c r="D5" s="31">
        <v>30.467157658100938</v>
      </c>
      <c r="E5" s="31">
        <v>35.09556266616951</v>
      </c>
      <c r="F5" s="31">
        <v>42.181232245879215</v>
      </c>
    </row>
    <row r="6" spans="1:6" x14ac:dyDescent="0.25">
      <c r="A6" s="30">
        <v>0.063759</v>
      </c>
      <c r="B6" s="31">
        <v>20.047861861853303</v>
      </c>
      <c r="C6" s="31">
        <v>21.404149476700194</v>
      </c>
      <c r="D6" s="31">
        <v>23.105711340204284</v>
      </c>
      <c r="E6" s="31">
        <v>25.305961763508016</v>
      </c>
      <c r="F6" s="31">
        <v>28.265004658325797</v>
      </c>
    </row>
    <row r="7" spans="1:6" x14ac:dyDescent="0.25">
      <c r="A7" s="30">
        <v>0.073759</v>
      </c>
      <c r="B7" s="31">
        <v>16.926923630390288</v>
      </c>
      <c r="C7" s="31">
        <v>17.760232143646956</v>
      </c>
      <c r="D7" s="32">
        <v>18.760897069669397</v>
      </c>
      <c r="E7" s="31">
        <v>19.986285948654753</v>
      </c>
      <c r="F7" s="31">
        <v>21.523368498460655</v>
      </c>
    </row>
    <row r="8" spans="1:6" x14ac:dyDescent="0.25">
      <c r="A8" s="30">
        <v>0.083759</v>
      </c>
      <c r="B8" s="31">
        <v>14.713263646952848</v>
      </c>
      <c r="C8" s="31">
        <v>15.25803870109968</v>
      </c>
      <c r="D8" s="31">
        <v>15.892704037225132</v>
      </c>
      <c r="E8" s="31">
        <v>16.64234111572987</v>
      </c>
      <c r="F8" s="31">
        <v>17.542319327612265</v>
      </c>
    </row>
    <row r="9" spans="1:6" x14ac:dyDescent="0.25">
      <c r="A9" s="30">
        <v>0.093759</v>
      </c>
      <c r="B9" s="31">
        <v>13.061334717436687</v>
      </c>
      <c r="C9" s="31">
        <v>13.433278023309073</v>
      </c>
      <c r="D9" s="31">
        <v>13.857000183639004</v>
      </c>
      <c r="E9" s="31">
        <v>14.344682738552004</v>
      </c>
      <c r="F9" s="31">
        <v>14.91265350027677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1559469000</v>
      </c>
      <c r="C5" s="18">
        <v>1370625000</v>
      </c>
      <c r="D5" s="18">
        <v>1231675000</v>
      </c>
      <c r="E5" s="18">
        <v>1194408000</v>
      </c>
      <c r="F5" s="8" t="s">
        <v>84</v>
      </c>
    </row>
    <row r="6" spans="1:6" x14ac:dyDescent="0.25">
      <c r="A6" t="s">
        <v>44</v>
      </c>
      <c r="B6" s="18">
        <v>887517000</v>
      </c>
      <c r="C6" s="18">
        <v>742966000</v>
      </c>
      <c r="D6" s="18">
        <v>607210000</v>
      </c>
      <c r="E6" s="18">
        <v>590251000</v>
      </c>
      <c r="F6" s="8" t="s">
        <v>85</v>
      </c>
    </row>
    <row r="7" spans="1:6" x14ac:dyDescent="0.25">
      <c r="A7" t="s">
        <v>86</v>
      </c>
      <c r="B7" s="18">
        <v>82145000</v>
      </c>
      <c r="C7" s="18">
        <v>84916000</v>
      </c>
      <c r="D7" s="18">
        <v>95853000</v>
      </c>
      <c r="E7" s="18">
        <v>98322000</v>
      </c>
      <c r="F7" s="8" t="s">
        <v>87</v>
      </c>
    </row>
    <row r="8" spans="1:6" x14ac:dyDescent="0.25">
      <c r="A8" t="s">
        <v>88</v>
      </c>
      <c r="B8" s="18">
        <v>81922000</v>
      </c>
      <c r="C8" s="18">
        <v>68112000</v>
      </c>
      <c r="D8" s="18">
        <v>64569000</v>
      </c>
      <c r="E8" s="18">
        <v>54304000</v>
      </c>
      <c r="F8" s="8" t="s">
        <v>89</v>
      </c>
    </row>
    <row r="9" spans="1:6" x14ac:dyDescent="0.25">
      <c r="A9" t="s">
        <v>90</v>
      </c>
      <c r="B9" s="18">
        <v>-6322000</v>
      </c>
      <c r="C9" s="18">
        <v>-127687000</v>
      </c>
      <c r="D9" s="18">
        <v>-721000</v>
      </c>
      <c r="E9" s="18">
        <v>161706000</v>
      </c>
      <c r="F9" s="8" t="s">
        <v>91</v>
      </c>
    </row>
    <row r="10" spans="1:6" x14ac:dyDescent="0.25">
      <c r="A10" t="s">
        <v>92</v>
      </c>
      <c r="B10" s="18">
        <v>675826000</v>
      </c>
      <c r="C10" s="18">
        <v>688104000</v>
      </c>
      <c r="D10" s="18">
        <v>728013000</v>
      </c>
      <c r="E10" s="18">
        <v>727221000</v>
      </c>
      <c r="F10" s="8" t="s">
        <v>93</v>
      </c>
    </row>
    <row r="11" spans="1:6" x14ac:dyDescent="0.25">
      <c r="A11" t="s">
        <v>94</v>
      </c>
      <c r="B11" s="18">
        <v>2238196000</v>
      </c>
      <c r="C11" s="18">
        <v>1507564000</v>
      </c>
      <c r="D11" s="18">
        <v>1133616000</v>
      </c>
      <c r="E11" s="18">
        <v>1067100000</v>
      </c>
      <c r="F11" s="8" t="s">
        <v>95</v>
      </c>
    </row>
    <row r="12" spans="1:6" x14ac:dyDescent="0.25">
      <c r="A12" t="s">
        <v>32</v>
      </c>
      <c r="B12" s="34">
        <v>1068617977</v>
      </c>
      <c r="C12" s="34">
        <v>1075232000</v>
      </c>
      <c r="D12" s="34">
        <v>1096384000</v>
      </c>
      <c r="E12" s="34">
        <v>1105527000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2026-09-19T01:59:35Z</dcterms:modified>
</cp:coreProperties>
</file>