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<sst xmlns="http://schemas.openxmlformats.org/spreadsheetml/2006/main" count="113" uniqueCount="101">
  <si>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Banco de Sabadell, S.A. (SAB.MC)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</si>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</sst>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-0.03739999628064372</v>
      </c>
    </row>
    <row r="7" spans="1:2" x14ac:dyDescent="0.25">
      <c r="A7" t="s">
        <v>5</v>
      </c>
      <c r="B7" s="6">
        <v>0.33858706458233556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0.08828874011918711</v>
      </c>
    </row>
    <row r="10" spans="1:2" x14ac:dyDescent="0.25">
      <c r="A10" t="s">
        <v>8</v>
      </c>
      <c r="B10" s="6">
        <v>0.09911317946883223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10.707158954736217</v>
      </c>
    </row>
    <row r="14" spans="1:3" x14ac:dyDescent="0.25">
      <c r="A14" t="s">
        <v>12</v>
      </c>
      <c r="B14" s="6">
        <v>0.07777932282810733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0.66165</v>
      </c>
      <c r="C19" s="8" t="s">
        <v>19</v>
      </c>
    </row>
    <row r="20" spans="1:2" x14ac:dyDescent="0.25">
      <c r="A20" t="s">
        <v>20</v>
      </c>
      <c r="B20" s="10">
        <f>B17+B19*B18</f>
        <v>0.08500725</v>
      </c>
    </row>
    <row r="21" spans="1:3" x14ac:dyDescent="0.25">
      <c r="A21" t="s">
        <v>21</v>
      </c>
      <c r="B21" s="6">
        <v>0.09636133377283325</v>
      </c>
      <c r="C21" s="8" t="s">
        <v>22</v>
      </c>
    </row>
    <row r="22" spans="1:2" x14ac:dyDescent="0.25">
      <c r="A22" t="s">
        <v>23</v>
      </c>
      <c r="B22" s="11">
        <v>17173527552</v>
      </c>
    </row>
    <row r="23" spans="1:2" x14ac:dyDescent="0.25">
      <c r="A23" t="s">
        <v>24</v>
      </c>
      <c r="B23" s="11">
        <v>22534811000</v>
      </c>
    </row>
    <row r="24" spans="1:2" x14ac:dyDescent="0.25">
      <c r="A24" t="s">
        <v>25</v>
      </c>
      <c r="B24" s="10">
        <f>B22/(B22+B23)</f>
        <v>0.43249171781666035</v>
      </c>
    </row>
    <row r="25" spans="1:2" x14ac:dyDescent="0.25">
      <c r="A25" t="s">
        <v>26</v>
      </c>
      <c r="B25" s="10">
        <f>1-B24</f>
        <v>0.5675082821833397</v>
      </c>
    </row>
    <row r="26" spans="1:2" x14ac:dyDescent="0.25">
      <c r="A26" t="s">
        <v>27</v>
      </c>
      <c r="B26" s="12">
        <f>B24*B20+B25*B21*(1-B8)</f>
        <v>0.07777932282810733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4882892000</v>
      </c>
      <c r="C29" s="8" t="s">
        <v>30</v>
      </c>
    </row>
    <row r="30" spans="1:2" x14ac:dyDescent="0.25">
      <c r="A30" t="s">
        <v>31</v>
      </c>
      <c r="B30" s="11">
        <v>9599702000</v>
      </c>
    </row>
    <row r="31" spans="1:2" x14ac:dyDescent="0.25">
      <c r="A31" t="s">
        <v>32</v>
      </c>
      <c r="B31" s="13">
        <v>5151808377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-0.03739999628064372</v>
      </c>
      <c r="C5" s="10">
        <f>Assumptions!B6</f>
        <v>-0.03739999628064372</v>
      </c>
      <c r="D5" s="10">
        <f>Assumptions!B6</f>
        <v>-0.03739999628064372</v>
      </c>
      <c r="E5" s="10">
        <f>Assumptions!B6</f>
        <v>-0.03739999628064372</v>
      </c>
      <c r="F5" s="10">
        <f>Assumptions!B6</f>
        <v>-0.03739999628064372</v>
      </c>
    </row>
    <row r="6" spans="1:6" x14ac:dyDescent="0.25">
      <c r="A6" t="s">
        <v>43</v>
      </c>
      <c r="B6" s="18">
        <f>Assumptions!B29*(1+B5)</f>
        <v>4700271857.361215</v>
      </c>
      <c r="C6" s="18">
        <f>B6*(1+C5)</f>
        <v>4524481707.377891</v>
      </c>
      <c r="D6" s="18">
        <f>C6*(1+D5)</f>
        <v>4355266108.350117</v>
      </c>
      <c r="E6" s="18">
        <f>D6*(1+E5)</f>
        <v>4192379172.0966086</v>
      </c>
      <c r="F6" s="18">
        <f>E6*(1+F5)</f>
        <v>4035584206.653147</v>
      </c>
    </row>
    <row r="7" spans="1:6" x14ac:dyDescent="0.25">
      <c r="A7" t="s">
        <v>5</v>
      </c>
      <c r="B7" s="10">
        <f>Assumptions!B7</f>
        <v>0.33858706458233556</v>
      </c>
      <c r="C7" s="10">
        <f>Assumptions!B7</f>
        <v>0.33858706458233556</v>
      </c>
      <c r="D7" s="10">
        <f>Assumptions!B7</f>
        <v>0.33858706458233556</v>
      </c>
      <c r="E7" s="10">
        <f>Assumptions!B7</f>
        <v>0.33858706458233556</v>
      </c>
      <c r="F7" s="10">
        <f>Assumptions!B7</f>
        <v>0.33858706458233556</v>
      </c>
    </row>
    <row r="8" spans="1:6" x14ac:dyDescent="0.25">
      <c r="A8" t="s">
        <v>44</v>
      </c>
      <c r="B8" s="18">
        <f>B6*B7</f>
        <v>1591451250.922896</v>
      </c>
      <c r="C8" s="18">
        <f>C6*C7</f>
        <v>1531930980.0575538</v>
      </c>
      <c r="D8" s="18">
        <f>D6*D7</f>
        <v>1474636767.1011982</v>
      </c>
      <c r="E8" s="18">
        <f>E6*E7</f>
        <v>1419485357.4963129</v>
      </c>
      <c r="F8" s="18">
        <f>F6*F7</f>
        <v>1366396610.4055226</v>
      </c>
    </row>
    <row r="9" spans="1:6" x14ac:dyDescent="0.25">
      <c r="A9" t="s">
        <v>45</v>
      </c>
      <c r="B9" s="18">
        <f>B8*(1-Assumptions!B8)</f>
        <v>1193588438.192172</v>
      </c>
      <c r="C9" s="18">
        <f>C8*(1-Assumptions!B8)</f>
        <v>1148948235.0431652</v>
      </c>
      <c r="D9" s="18">
        <f>D8*(1-Assumptions!B8)</f>
        <v>1105977575.3258986</v>
      </c>
      <c r="E9" s="18">
        <f>E8*(1-Assumptions!B8)</f>
        <v>1064614018.1222346</v>
      </c>
      <c r="F9" s="18">
        <f>F8*(1-Assumptions!B8)</f>
        <v>1024797457.804142</v>
      </c>
    </row>
    <row r="10" spans="1:6" x14ac:dyDescent="0.25">
      <c r="A10" t="s">
        <v>46</v>
      </c>
      <c r="B10" s="18">
        <f>B6*Assumptions!B9</f>
        <v>414981080.50409317</v>
      </c>
      <c r="C10" s="18">
        <f>C6*Assumptions!B9</f>
        <v>399460789.63670254</v>
      </c>
      <c r="D10" s="18">
        <f>D6*Assumptions!B9</f>
        <v>384520957.59002686</v>
      </c>
      <c r="E10" s="18">
        <f>E6*Assumptions!B9</f>
        <v>370139875.2063303</v>
      </c>
      <c r="F10" s="18">
        <f>F6*Assumptions!B9</f>
        <v>356296645.2502956</v>
      </c>
    </row>
    <row r="11" spans="1:6" x14ac:dyDescent="0.25">
      <c r="A11" t="s">
        <v>47</v>
      </c>
      <c r="B11" s="18">
        <f>-B6*Assumptions!B10</f>
        <v>-465858888.15094346</v>
      </c>
      <c r="C11" s="18">
        <f>-C6*Assumptions!B10</f>
        <v>-448435767.46679336</v>
      </c>
      <c r="D11" s="18">
        <f>-D6*Assumptions!B10</f>
        <v>-431664271.43142766</v>
      </c>
      <c r="E11" s="18">
        <f>-E6*Assumptions!B10</f>
        <v>-415520029.28540546</v>
      </c>
      <c r="F11" s="18">
        <f>-F6*Assumptions!B10</f>
        <v>-399979581.7355983</v>
      </c>
    </row>
    <row r="12" spans="1:6" x14ac:dyDescent="0.25">
      <c r="A12" t="s">
        <v>48</v>
      </c>
      <c r="B12" s="18">
        <f>-(B6-Assumptions!B29)*Assumptions!B11</f>
        <v>-182620142.63878536</v>
      </c>
      <c r="C12" s="18">
        <f>-(C6-B6)*Assumptions!B11</f>
        <v>-175790149.98332405</v>
      </c>
      <c r="D12" s="18">
        <f>-(D6-C6)*Assumptions!B11</f>
        <v>-169215599.02777386</v>
      </c>
      <c r="E12" s="18">
        <f>-(E6-D6)*Assumptions!B11</f>
        <v>-162886936.2535081</v>
      </c>
      <c r="F12" s="18">
        <f>-(F6-E6)*Assumptions!B11</f>
        <v>-156794965.44346142</v>
      </c>
    </row>
    <row r="13" spans="1:6" x14ac:dyDescent="0.25">
      <c r="A13" s="19" t="s">
        <v>49</v>
      </c>
      <c r="B13" s="20">
        <f>B9+B10+B11+B12</f>
        <v>960090487.9065363</v>
      </c>
      <c r="C13" s="20">
        <f>C9+C10+C11+C12</f>
        <v>924183107.2297504</v>
      </c>
      <c r="D13" s="20">
        <f>D9+D10+D11+D12</f>
        <v>889618662.4567239</v>
      </c>
      <c r="E13" s="20">
        <f>E9+E10+E11+E12</f>
        <v>856346927.7896514</v>
      </c>
      <c r="F13" s="20">
        <f>F9+F10+F11+F12</f>
        <v>824319555.8753779</v>
      </c>
    </row>
    <row r="14" spans="1:6" x14ac:dyDescent="0.25">
      <c r="A14" t="s">
        <v>50</v>
      </c>
      <c r="B14" s="21">
        <f>1/(1+Assumptions!$B$26)^(1-0.5*Assumptions!$B$32)</f>
        <v>0.9632412581740057</v>
      </c>
      <c r="C14" s="21">
        <f>1/(1+Assumptions!$B$26)^(2-0.5*Assumptions!$B$32)</f>
        <v>0.8937277212244598</v>
      </c>
      <c r="D14" s="21">
        <f>1/(1+Assumptions!$B$26)^(3-0.5*Assumptions!$B$32)</f>
        <v>0.8292307175455048</v>
      </c>
      <c r="E14" s="21">
        <f>1/(1+Assumptions!$B$26)^(4-0.5*Assumptions!$B$32)</f>
        <v>0.7693882225997734</v>
      </c>
      <c r="F14" s="21">
        <f>1/(1+Assumptions!$B$26)^(5-0.5*Assumptions!$B$32)</f>
        <v>0.7138643378135037</v>
      </c>
    </row>
    <row r="15" spans="1:6" x14ac:dyDescent="0.25">
      <c r="A15" s="19" t="s">
        <v>51</v>
      </c>
      <c r="B15" s="20">
        <f>B13*B14</f>
        <v>924798769.5319871</v>
      </c>
      <c r="C15" s="20">
        <f>C13*C14</f>
        <v>825968062.4185854</v>
      </c>
      <c r="D15" s="20">
        <f>D13*D14</f>
        <v>737699121.8108615</v>
      </c>
      <c r="E15" s="20">
        <f>E13*E14</f>
        <v>658863240.7008563</v>
      </c>
      <c r="F15" s="20">
        <f>F13*F14</f>
        <v>588452333.9016981</v>
      </c>
    </row>
    <row r="17" spans="1:2" x14ac:dyDescent="0.25">
      <c r="A17" s="22" t="s">
        <v>52</v>
      </c>
      <c r="B17" s="23">
        <f>SUM(B15:F15)</f>
        <v>3735781528.3639884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824319555.8753779</v>
      </c>
    </row>
    <row r="5" spans="1:2" x14ac:dyDescent="0.25">
      <c r="A5" t="s">
        <v>56</v>
      </c>
      <c r="B5" s="18">
        <f>IF(Assumptions!$B$33=0,B4,B4-Forecast!F11-Forecast!F10-Forecast!F12)</f>
        <v>1024797457.804142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0.32142218639843545</v>
      </c>
    </row>
    <row r="7" spans="1:2" x14ac:dyDescent="0.25">
      <c r="A7" t="s">
        <v>58</v>
      </c>
      <c r="B7" s="18">
        <f>-MAX(Forecast!F9,0)*B6</f>
        <v>-329392639.5029657</v>
      </c>
    </row>
    <row r="8" spans="1:2" x14ac:dyDescent="0.25">
      <c r="A8" t="s">
        <v>59</v>
      </c>
      <c r="B8" s="18">
        <f>IF(OR(Assumptions!$B$33=0,Assumptions!B12&lt;=0),B5,MAX(B5+B7,0))</f>
        <v>695404818.3011763</v>
      </c>
    </row>
    <row r="9" spans="1:2" x14ac:dyDescent="0.25">
      <c r="A9" t="s">
        <v>60</v>
      </c>
      <c r="B9" s="18">
        <f>B8*(1+Assumptions!B12)/(Assumptions!B26-Assumptions!B12)</f>
        <v>13505098219.621593</v>
      </c>
    </row>
    <row r="10" spans="1:2" x14ac:dyDescent="0.25">
      <c r="A10" t="s">
        <v>61</v>
      </c>
      <c r="B10" s="18">
        <f>B9/(1+Assumptions!B26)^(5-0.5*Assumptions!B32)</f>
        <v>9640807997.656496</v>
      </c>
    </row>
    <row r="11" spans="1:2" x14ac:dyDescent="0.25">
      <c r="A11" t="s">
        <v>62</v>
      </c>
      <c r="B11" s="18">
        <f>Forecast!B17+B10</f>
        <v>13376589526.020485</v>
      </c>
    </row>
    <row r="12" spans="1:2" x14ac:dyDescent="0.25">
      <c r="A12" t="s">
        <v>63</v>
      </c>
      <c r="B12" s="18">
        <f>-Assumptions!B30</f>
        <v>-9599702000</v>
      </c>
    </row>
    <row r="13" spans="1:2" x14ac:dyDescent="0.25">
      <c r="A13" t="s">
        <v>64</v>
      </c>
      <c r="B13" s="18">
        <f>B11+B12</f>
        <v>3776887526.020485</v>
      </c>
    </row>
    <row r="14" spans="1:2" x14ac:dyDescent="0.25">
      <c r="A14" s="19" t="s">
        <v>65</v>
      </c>
      <c r="B14" s="24">
        <f>B13/Assumptions!B31</f>
        <v>0.7331187904585538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1722693255.6558182</v>
      </c>
    </row>
    <row r="18" spans="1:2" x14ac:dyDescent="0.25">
      <c r="A18" t="s">
        <v>60</v>
      </c>
      <c r="B18" s="18">
        <f>B17*Assumptions!B13</f>
        <v>18445150518.55888</v>
      </c>
    </row>
    <row r="19" spans="1:2" x14ac:dyDescent="0.25">
      <c r="A19" t="s">
        <v>61</v>
      </c>
      <c r="B19" s="18">
        <f>B18/(1+Assumptions!B26)^(5-0.5*Assumptions!B32)</f>
        <v>13167335160.80144</v>
      </c>
    </row>
    <row r="20" spans="1:2" x14ac:dyDescent="0.25">
      <c r="A20" t="s">
        <v>62</v>
      </c>
      <c r="B20" s="18">
        <f>Forecast!B17+B19</f>
        <v>16903116689.165428</v>
      </c>
    </row>
    <row r="21" spans="1:2" x14ac:dyDescent="0.25">
      <c r="A21" t="s">
        <v>63</v>
      </c>
      <c r="B21" s="18">
        <f>-Assumptions!B30</f>
        <v>-9599702000</v>
      </c>
    </row>
    <row r="22" spans="1:2" x14ac:dyDescent="0.25">
      <c r="A22" t="s">
        <v>64</v>
      </c>
      <c r="B22" s="18">
        <f>B20+B21</f>
        <v>7303414689.165428</v>
      </c>
    </row>
    <row r="23" spans="1:2" x14ac:dyDescent="0.25">
      <c r="A23" s="19" t="s">
        <v>65</v>
      </c>
      <c r="B23" s="25">
        <f>B22/Assumptions!B31</f>
        <v>1.417640982489017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3.639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0.7331187904585538</v>
      </c>
    </row>
    <row r="29" spans="1:2" x14ac:dyDescent="0.25">
      <c r="A29" s="19" t="s">
        <v>73</v>
      </c>
      <c r="B29" s="12">
        <f>B28/B26-1</f>
        <v>-0.7985383922894879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0.057779</v>
      </c>
      <c r="B5" s="31">
        <v>1.6075281560447177</v>
      </c>
      <c r="C5" s="31">
        <v>1.6208972226905816</v>
      </c>
      <c r="D5" s="31">
        <v>1.6342662893364441</v>
      </c>
      <c r="E5" s="31">
        <v>1.6476353559823067</v>
      </c>
      <c r="F5" s="31">
        <v>1.6610044226281693</v>
      </c>
    </row>
    <row r="6" spans="1:6" x14ac:dyDescent="0.25">
      <c r="A6" s="30">
        <v>0.067779</v>
      </c>
      <c r="B6" s="31">
        <v>1.0949807792419592</v>
      </c>
      <c r="C6" s="31">
        <v>1.1059049126879337</v>
      </c>
      <c r="D6" s="31">
        <v>1.116829046133907</v>
      </c>
      <c r="E6" s="31">
        <v>1.1277531795798819</v>
      </c>
      <c r="F6" s="31">
        <v>1.1386773130258554</v>
      </c>
    </row>
    <row r="7" spans="1:6" x14ac:dyDescent="0.25">
      <c r="A7" s="30">
        <v>0.077779</v>
      </c>
      <c r="B7" s="31">
        <v>0.7148724548016362</v>
      </c>
      <c r="C7" s="31">
        <v>0.7240010144914831</v>
      </c>
      <c r="D7" s="32">
        <v>0.7331295741813285</v>
      </c>
      <c r="E7" s="31">
        <v>0.7422581338711751</v>
      </c>
      <c r="F7" s="31">
        <v>0.7513866935610213</v>
      </c>
    </row>
    <row r="8" spans="1:6" x14ac:dyDescent="0.25">
      <c r="A8" s="30">
        <v>0.087779</v>
      </c>
      <c r="B8" s="31">
        <v>0.42190183675907345</v>
      </c>
      <c r="C8" s="31">
        <v>0.42966117524148895</v>
      </c>
      <c r="D8" s="31">
        <v>0.43742051372390445</v>
      </c>
      <c r="E8" s="31">
        <v>0.44517985220632034</v>
      </c>
      <c r="F8" s="31">
        <v>0.45293919068873584</v>
      </c>
    </row>
    <row r="9" spans="1:6" x14ac:dyDescent="0.25">
      <c r="A9" s="30">
        <v>0.097779</v>
      </c>
      <c r="B9" s="31">
        <v>0.1893021184754701</v>
      </c>
      <c r="C9" s="31">
        <v>0.19598687536313225</v>
      </c>
      <c r="D9" s="31">
        <v>0.2026716322507944</v>
      </c>
      <c r="E9" s="31">
        <v>0.2093563891384573</v>
      </c>
      <c r="F9" s="31">
        <v>0.21604114602611946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4882892000</v>
      </c>
      <c r="C5" s="18">
        <v>5141263000</v>
      </c>
      <c r="D5" s="18">
        <v>6282439000</v>
      </c>
      <c r="E5" s="18">
        <v>5474438000</v>
      </c>
      <c r="F5" s="8" t="s">
        <v>84</v>
      </c>
    </row>
    <row r="6" spans="1:6" x14ac:dyDescent="0.25">
      <c r="A6" t="s">
        <v>44</v>
      </c>
      <c r="B6" s="18">
        <v>2079501000</v>
      </c>
      <c r="C6" s="18">
        <v>2030302000</v>
      </c>
      <c r="D6" s="18">
        <v>1890778000</v>
      </c>
      <c r="E6" s="18">
        <v>1273396000</v>
      </c>
      <c r="F6" s="8" t="s">
        <v>85</v>
      </c>
    </row>
    <row r="7" spans="1:6" x14ac:dyDescent="0.25">
      <c r="A7" t="s">
        <v>86</v>
      </c>
      <c r="B7" s="18">
        <v>420997000</v>
      </c>
      <c r="C7" s="18">
        <v>435775000</v>
      </c>
      <c r="D7" s="18">
        <v>518965000</v>
      </c>
      <c r="E7" s="18">
        <v>545091000</v>
      </c>
      <c r="F7" s="8" t="s">
        <v>87</v>
      </c>
    </row>
    <row r="8" spans="1:6" x14ac:dyDescent="0.25">
      <c r="A8" t="s">
        <v>88</v>
      </c>
      <c r="B8" s="18">
        <v>610795000</v>
      </c>
      <c r="C8" s="18">
        <v>552186000</v>
      </c>
      <c r="D8" s="18">
        <v>532505000</v>
      </c>
      <c r="E8" s="18">
        <v>433577000</v>
      </c>
      <c r="F8" s="8" t="s">
        <v>89</v>
      </c>
    </row>
    <row r="9" spans="1:6" x14ac:dyDescent="0.25">
      <c r="A9" t="s">
        <v>90</v>
      </c>
      <c r="B9" s="18">
        <v>1343693000</v>
      </c>
      <c r="C9" s="18">
        <v>14288073000</v>
      </c>
      <c r="D9" s="18">
        <v>13360643000</v>
      </c>
      <c r="E9" s="18">
        <v>9283908000</v>
      </c>
      <c r="F9" s="8" t="s">
        <v>91</v>
      </c>
    </row>
    <row r="10" spans="1:6" x14ac:dyDescent="0.25">
      <c r="A10" t="s">
        <v>92</v>
      </c>
      <c r="B10" s="18">
        <v>22534811000</v>
      </c>
      <c r="C10" s="18">
        <v>32366982000</v>
      </c>
      <c r="D10" s="18">
        <v>30112199000</v>
      </c>
      <c r="E10" s="18">
        <v>24754545000</v>
      </c>
      <c r="F10" s="8" t="s">
        <v>93</v>
      </c>
    </row>
    <row r="11" spans="1:6" x14ac:dyDescent="0.25">
      <c r="A11" t="s">
        <v>94</v>
      </c>
      <c r="B11" s="18">
        <v>12935109000</v>
      </c>
      <c r="C11" s="18">
        <v>19432443000</v>
      </c>
      <c r="D11" s="18">
        <v>30960386000</v>
      </c>
      <c r="E11" s="18">
        <v>42315844000</v>
      </c>
      <c r="F11" s="8" t="s">
        <v>95</v>
      </c>
    </row>
    <row r="12" spans="1:6" x14ac:dyDescent="0.25">
      <c r="A12" t="s">
        <v>32</v>
      </c>
      <c r="B12" s="34">
        <v>5151808377</v>
      </c>
      <c r="C12" s="34">
        <v>5376450440</v>
      </c>
      <c r="D12" s="34">
        <v>5401123639</v>
      </c>
      <c r="E12" s="34">
        <v>5593885977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