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<sst xmlns="http://schemas.openxmlformats.org/spreadsheetml/2006/main" count="113" uniqueCount="101">
  <si>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Safran SA (SAF.PA)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</si>
  <si>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</si>
  <si>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</si>
  <si>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</si>
  <si>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</si>
  <si>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</si>
  <si>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</si>
  <si>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</si>
  <si>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</si>
  <si>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</si>
  <si>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</si>
  <si>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</si>
  <si>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</si>
  <si>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</si>
  <si>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</si>
  <si>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</si>
  <si>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</si>
  <si>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</si>
  <si>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</si>
  <si>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</si>
  <si>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</si>
  <si>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</si>
  <si>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</si>
  <si>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</si>
  <si>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</si>
  <si>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</si>
  <si>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</si>
  <si>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</si>
  <si>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</si>
  <si>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</si>
  <si>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</si>
  <si>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</si>
  <si>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</si>
  <si>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</si>
  <si>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</si>
  <si>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</si>
  <si>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</si>
  <si>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</si>
  <si>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</si>
  <si>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</si>
  <si>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</si>
  <si>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</si>
  <si>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</si>
  <si>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</si>
  <si>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</si>
  <si>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</si>
  <si>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</si>
  <si>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</si>
  <si>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</si>
  <si>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</si>
  <si>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</si>
  <si>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</si>
  <si>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</si>
  <si>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</si>
  <si>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</si>
  <si>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</si>
  <si>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</si>
  <si>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</si>
  <si>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</si>
  <si>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</si>
  <si>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</si>
  <si>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</si>
  <si>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</si>
  <si>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</si>
  <si>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</si>
  <si>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</si>
  <si>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</si>
  <si>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</si>
  <si>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</si>
  <si>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</si>
  <si>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</si>
  <si>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</si>
  <si>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</si>
  <si>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</si>
  <si>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</si>
  <si>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</si>
  <si>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</si>
  <si>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</si>
  <si>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</si>
  <si>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</si>
  <si>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</si>
  <si>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</si>
  <si>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</si>
  <si>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</si>
  <si>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</si>
  <si>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</si>
  <si>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</si>
  <si>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</si>
  <si>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</si>
  <si>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</si>
  <si>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</si>
  <si>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</si>
  <si>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</si>
  <si>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</si>
  <si>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</si>
  <si>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</si>
  <si>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</si>
  <si>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</si>
  <si>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</si>
  <si>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Current EV/EBITDA of 21.8x sits outside a defensible 3-20x band, so the exit multiple is capped at 20.0x. A multiple that far out usually means EBITDA is the wrong denominator for this business.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</si>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</sst>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0.16901019504039083</v>
      </c>
    </row>
    <row r="7" spans="1:2" x14ac:dyDescent="0.25">
      <c r="A7" t="s">
        <v>5</v>
      </c>
      <c r="B7" s="6">
        <v>0.14111495464162557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0.06089650667591058</v>
      </c>
    </row>
    <row r="10" spans="1:2" x14ac:dyDescent="0.25">
      <c r="A10" t="s">
        <v>8</v>
      </c>
      <c r="B10" s="6">
        <v>0.05361684216554008</v>
      </c>
    </row>
    <row r="11" spans="1:2" x14ac:dyDescent="0.25">
      <c r="A11" t="s">
        <v>9</v>
      </c>
      <c r="B11" s="6">
        <v>-0.18362403100775193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0.15488857646285772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0.97119</v>
      </c>
      <c r="C19" s="8" t="s">
        <v>19</v>
      </c>
    </row>
    <row r="20" spans="1:2" x14ac:dyDescent="0.25">
      <c r="A20" t="s">
        <v>20</v>
      </c>
      <c r="B20" s="10">
        <f>B17+B19*B18</f>
        <v>0.0902714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133843386368</v>
      </c>
    </row>
    <row r="23" spans="1:2" x14ac:dyDescent="0.25">
      <c r="A23" t="s">
        <v>24</v>
      </c>
      <c r="B23" s="11">
        <v>5325000000</v>
      </c>
    </row>
    <row r="24" spans="1:2" x14ac:dyDescent="0.25">
      <c r="A24" t="s">
        <v>25</v>
      </c>
      <c r="B24" s="10">
        <f>B22/(B22+B23)</f>
        <v>0.9617369997671797</v>
      </c>
    </row>
    <row r="25" spans="1:2" x14ac:dyDescent="0.25">
      <c r="A25" t="s">
        <v>26</v>
      </c>
      <c r="B25" s="10">
        <f>1-B24</f>
        <v>0.038263000232820255</v>
      </c>
    </row>
    <row r="26" spans="1:2" x14ac:dyDescent="0.25">
      <c r="A26" t="s">
        <v>27</v>
      </c>
      <c r="B26" s="12">
        <f>B24*B20+B25*B21*(1-B8)</f>
        <v>0.08772586207831108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31189000000</v>
      </c>
      <c r="C29" s="8" t="s">
        <v>30</v>
      </c>
    </row>
    <row r="30" spans="1:2" x14ac:dyDescent="0.25">
      <c r="A30" t="s">
        <v>31</v>
      </c>
      <c r="B30" s="11">
        <v>-1579000000</v>
      </c>
    </row>
    <row r="31" spans="1:2" x14ac:dyDescent="0.25">
      <c r="A31" t="s">
        <v>32</v>
      </c>
      <c r="B31" s="13">
        <v>417883086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0.16901019504039083</v>
      </c>
      <c r="C5" s="10">
        <f>Assumptions!B6</f>
        <v>0.16901019504039083</v>
      </c>
      <c r="D5" s="10">
        <f>Assumptions!B6</f>
        <v>0.16901019504039083</v>
      </c>
      <c r="E5" s="10">
        <f>Assumptions!B6</f>
        <v>0.16901019504039083</v>
      </c>
      <c r="F5" s="10">
        <f>Assumptions!B6</f>
        <v>0.16901019504039083</v>
      </c>
    </row>
    <row r="6" spans="1:6" x14ac:dyDescent="0.25">
      <c r="A6" t="s">
        <v>43</v>
      </c>
      <c r="B6" s="18">
        <f>Assumptions!B29*(1+B5)</f>
        <v>36460258973.114746</v>
      </c>
      <c r="C6" s="18">
        <f>B6*(1+C5)</f>
        <v>42622414453.384026</v>
      </c>
      <c r="D6" s="18">
        <f>C6*(1+D5)</f>
        <v>49826037033.242836</v>
      </c>
      <c r="E6" s="18">
        <f>D6*(1+E5)</f>
        <v>58247145270.320946</v>
      </c>
      <c r="F6" s="18">
        <f>E6*(1+F5)</f>
        <v>68091506653.00387</v>
      </c>
    </row>
    <row r="7" spans="1:6" x14ac:dyDescent="0.25">
      <c r="A7" t="s">
        <v>5</v>
      </c>
      <c r="B7" s="10">
        <f>Assumptions!B7</f>
        <v>0.14111495464162557</v>
      </c>
      <c r="C7" s="10">
        <f>Assumptions!B7</f>
        <v>0.14111495464162557</v>
      </c>
      <c r="D7" s="10">
        <f>Assumptions!B7</f>
        <v>0.14111495464162557</v>
      </c>
      <c r="E7" s="10">
        <f>Assumptions!B7</f>
        <v>0.14111495464162557</v>
      </c>
      <c r="F7" s="10">
        <f>Assumptions!B7</f>
        <v>0.14111495464162557</v>
      </c>
    </row>
    <row r="8" spans="1:6" x14ac:dyDescent="0.25">
      <c r="A8" t="s">
        <v>44</v>
      </c>
      <c r="B8" s="18">
        <f>B6*B7</f>
        <v>5145087791.213009</v>
      </c>
      <c r="C8" s="18">
        <f>C6*C7</f>
        <v>6014660082.305853</v>
      </c>
      <c r="D8" s="18">
        <f>D6*D7</f>
        <v>7031198955.918019</v>
      </c>
      <c r="E8" s="18">
        <f>E6*E7</f>
        <v>8219543262.825516</v>
      </c>
      <c r="F8" s="18">
        <f>F6*F7</f>
        <v>9608729872.818586</v>
      </c>
    </row>
    <row r="9" spans="1:6" x14ac:dyDescent="0.25">
      <c r="A9" t="s">
        <v>45</v>
      </c>
      <c r="B9" s="18">
        <f>B8*(1-Assumptions!B8)</f>
        <v>3817655141.0800524</v>
      </c>
      <c r="C9" s="18">
        <f>C8*(1-Assumptions!B8)</f>
        <v>4462877781.070943</v>
      </c>
      <c r="D9" s="18">
        <f>D8*(1-Assumptions!B8)</f>
        <v>5217149625.29117</v>
      </c>
      <c r="E9" s="18">
        <f>E8*(1-Assumptions!B8)</f>
        <v>6098901101.016533</v>
      </c>
      <c r="F9" s="18">
        <f>F8*(1-Assumptions!B8)</f>
        <v>7129677565.631391</v>
      </c>
    </row>
    <row r="10" spans="1:6" x14ac:dyDescent="0.25">
      <c r="A10" t="s">
        <v>46</v>
      </c>
      <c r="B10" s="18">
        <f>B6*Assumptions!B9</f>
        <v>2220302403.961711</v>
      </c>
      <c r="C10" s="18">
        <f>C6*Assumptions!B9</f>
        <v>2595556146.303928</v>
      </c>
      <c r="D10" s="18">
        <f>D6*Assumptions!B9</f>
        <v>3034231596.82904</v>
      </c>
      <c r="E10" s="18">
        <f>E6*Assumptions!B9</f>
        <v>3547047670.806833</v>
      </c>
      <c r="F10" s="18">
        <f>F6*Assumptions!B9</f>
        <v>4146534889.4674597</v>
      </c>
    </row>
    <row r="11" spans="1:6" x14ac:dyDescent="0.25">
      <c r="A11" t="s">
        <v>47</v>
      </c>
      <c r="B11" s="18">
        <f>-B6*Assumptions!B10</f>
        <v>-1954883950.6762097</v>
      </c>
      <c r="C11" s="18">
        <f>-C6*Assumptions!B10</f>
        <v>-2285279268.4613256</v>
      </c>
      <c r="D11" s="18">
        <f>-D6*Assumptions!B10</f>
        <v>-2671514763.345736</v>
      </c>
      <c r="E11" s="18">
        <f>-E6*Assumptions!B10</f>
        <v>-3123027994.5520825</v>
      </c>
      <c r="F11" s="18">
        <f>-F6*Assumptions!B10</f>
        <v>-3650851565.0279307</v>
      </c>
    </row>
    <row r="12" spans="1:6" x14ac:dyDescent="0.25">
      <c r="A12" t="s">
        <v>48</v>
      </c>
      <c r="B12" s="18">
        <f>-(B6-Assumptions!B29)*Assumptions!B11</f>
        <v>967929821.1291127</v>
      </c>
      <c r="C12" s="18">
        <f>-(C6-B6)*Assumptions!B11</f>
        <v>1131519828.9835546</v>
      </c>
      <c r="D12" s="18">
        <f>-(D6-C6)*Assumptions!B11</f>
        <v>1322758215.9721363</v>
      </c>
      <c r="E12" s="18">
        <f>-(E6-D6)*Assumptions!B11</f>
        <v>1546317840.044866</v>
      </c>
      <c r="F12" s="18">
        <f>-(F6-E6)*Assumptions!B11</f>
        <v>1807661319.7852845</v>
      </c>
    </row>
    <row r="13" spans="1:6" x14ac:dyDescent="0.25">
      <c r="A13" s="19" t="s">
        <v>49</v>
      </c>
      <c r="B13" s="20">
        <f>B9+B10+B11+B12</f>
        <v>5051003415.494667</v>
      </c>
      <c r="C13" s="20">
        <f>C9+C10+C11+C12</f>
        <v>5904674487.8970995</v>
      </c>
      <c r="D13" s="20">
        <f>D9+D10+D11+D12</f>
        <v>6902624674.746612</v>
      </c>
      <c r="E13" s="20">
        <f>E9+E10+E11+E12</f>
        <v>8069238617.316151</v>
      </c>
      <c r="F13" s="20">
        <f>F9+F10+F11+F12</f>
        <v>9433022209.856203</v>
      </c>
    </row>
    <row r="14" spans="1:6" x14ac:dyDescent="0.25">
      <c r="A14" t="s">
        <v>50</v>
      </c>
      <c r="B14" s="21">
        <f>1/(1+Assumptions!$B$26)^(1-0.5*Assumptions!$B$32)</f>
        <v>0.9588270390974241</v>
      </c>
      <c r="C14" s="21">
        <f>1/(1+Assumptions!$B$26)^(2-0.5*Assumptions!$B$32)</f>
        <v>0.8814969584941185</v>
      </c>
      <c r="D14" s="21">
        <f>1/(1+Assumptions!$B$26)^(3-0.5*Assumptions!$B$32)</f>
        <v>0.8104036037258945</v>
      </c>
      <c r="E14" s="21">
        <f>1/(1+Assumptions!$B$26)^(4-0.5*Assumptions!$B$32)</f>
        <v>0.7450439784317175</v>
      </c>
      <c r="F14" s="21">
        <f>1/(1+Assumptions!$B$26)^(5-0.5*Assumptions!$B$32)</f>
        <v>0.684955653263743</v>
      </c>
    </row>
    <row r="15" spans="1:6" x14ac:dyDescent="0.25">
      <c r="A15" s="19" t="s">
        <v>51</v>
      </c>
      <c r="B15" s="20">
        <f>B13*B14</f>
        <v>4843038649.349728</v>
      </c>
      <c r="C15" s="20">
        <f>C13*C14</f>
        <v>5204952601.97911</v>
      </c>
      <c r="D15" s="20">
        <f>D13*D14</f>
        <v>5593911911.581934</v>
      </c>
      <c r="E15" s="20">
        <f>E13*E14</f>
        <v>6011937642.360077</v>
      </c>
      <c r="F15" s="20">
        <f>F13*F14</f>
        <v>6461201890.003452</v>
      </c>
    </row>
    <row r="17" spans="1:2" x14ac:dyDescent="0.25">
      <c r="A17" s="22" t="s">
        <v>52</v>
      </c>
      <c r="B17" s="23">
        <f>SUM(B15:F15)</f>
        <v>28115042695.274303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9433022209.856203</v>
      </c>
    </row>
    <row r="5" spans="1:2" x14ac:dyDescent="0.25">
      <c r="A5" t="s">
        <v>56</v>
      </c>
      <c r="B5" s="18">
        <f>IF(Assumptions!$B$33=0,B4,B4-Forecast!F11-Forecast!F10-Forecast!F12)</f>
        <v>8151050542.905884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0.16140635139735435</v>
      </c>
    </row>
    <row r="7" spans="1:2" x14ac:dyDescent="0.25">
      <c r="A7" t="s">
        <v>58</v>
      </c>
      <c r="B7" s="18">
        <f>-MAX(Forecast!F9,0)*B6</f>
        <v>-1315631328.185863</v>
      </c>
    </row>
    <row r="8" spans="1:2" x14ac:dyDescent="0.25">
      <c r="A8" t="s">
        <v>59</v>
      </c>
      <c r="B8" s="18">
        <f>IF(OR(Assumptions!$B$33=0,Assumptions!B12&lt;=0),B5,MAX(B5+B7,0))</f>
        <v>6835419214.72002</v>
      </c>
    </row>
    <row r="9" spans="1:2" x14ac:dyDescent="0.25">
      <c r="A9" t="s">
        <v>60</v>
      </c>
      <c r="B9" s="18">
        <f>B8*(1+Assumptions!B12)/(Assumptions!B26-Assumptions!B12)</f>
        <v>111697224445.33151</v>
      </c>
    </row>
    <row r="10" spans="1:2" x14ac:dyDescent="0.25">
      <c r="A10" t="s">
        <v>61</v>
      </c>
      <c r="B10" s="18">
        <f>B9/(1+Assumptions!B26)^(5-0.5*Assumptions!B32)</f>
        <v>76507645337.69896</v>
      </c>
    </row>
    <row r="11" spans="1:2" x14ac:dyDescent="0.25">
      <c r="A11" t="s">
        <v>62</v>
      </c>
      <c r="B11" s="18">
        <f>Forecast!B17+B10</f>
        <v>104622688032.97327</v>
      </c>
    </row>
    <row r="12" spans="1:2" x14ac:dyDescent="0.25">
      <c r="A12" t="s">
        <v>63</v>
      </c>
      <c r="B12" s="18">
        <f>-Assumptions!B30</f>
        <v>1579000000</v>
      </c>
    </row>
    <row r="13" spans="1:2" x14ac:dyDescent="0.25">
      <c r="A13" t="s">
        <v>64</v>
      </c>
      <c r="B13" s="18">
        <f>B11+B12</f>
        <v>106201688032.97327</v>
      </c>
    </row>
    <row r="14" spans="1:2" x14ac:dyDescent="0.25">
      <c r="A14" s="19" t="s">
        <v>65</v>
      </c>
      <c r="B14" s="24">
        <f>B13/Assumptions!B31</f>
        <v>254.1421071849107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13755264762.286045</v>
      </c>
    </row>
    <row r="18" spans="1:2" x14ac:dyDescent="0.25">
      <c r="A18" t="s">
        <v>60</v>
      </c>
      <c r="B18" s="18">
        <f>B17*Assumptions!B13</f>
        <v>275105295245.7209</v>
      </c>
    </row>
    <row r="19" spans="1:2" x14ac:dyDescent="0.25">
      <c r="A19" t="s">
        <v>61</v>
      </c>
      <c r="B19" s="18">
        <f>B18/(1+Assumptions!B26)^(5-0.5*Assumptions!B32)</f>
        <v>188434927221.34763</v>
      </c>
    </row>
    <row r="20" spans="1:2" x14ac:dyDescent="0.25">
      <c r="A20" t="s">
        <v>62</v>
      </c>
      <c r="B20" s="18">
        <f>Forecast!B17+B19</f>
        <v>216549969916.62192</v>
      </c>
    </row>
    <row r="21" spans="1:2" x14ac:dyDescent="0.25">
      <c r="A21" t="s">
        <v>63</v>
      </c>
      <c r="B21" s="18">
        <f>-Assumptions!B30</f>
        <v>1579000000</v>
      </c>
    </row>
    <row r="22" spans="1:2" x14ac:dyDescent="0.25">
      <c r="A22" t="s">
        <v>64</v>
      </c>
      <c r="B22" s="18">
        <f>B20+B21</f>
        <v>218128969916.62192</v>
      </c>
    </row>
    <row r="23" spans="1:2" x14ac:dyDescent="0.25">
      <c r="A23" s="19" t="s">
        <v>65</v>
      </c>
      <c r="B23" s="25">
        <f>B22/Assumptions!B31</f>
        <v>521.985639582986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254.1421071849107</v>
      </c>
    </row>
    <row r="29" spans="1:2" x14ac:dyDescent="0.25">
      <c r="A29" s="19" t="s">
        <v>73</v>
      </c>
      <c r="B29" s="12">
        <f>B28/B26-1</f>
        <v>-0.21318233069687087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0.067726</v>
      </c>
      <c r="B5" s="31">
        <v>326.9845093638115</v>
      </c>
      <c r="C5" s="31">
        <v>344.79341203869177</v>
      </c>
      <c r="D5" s="31">
        <v>366.66074421007266</v>
      </c>
      <c r="E5" s="31">
        <v>394.2001527646512</v>
      </c>
      <c r="F5" s="31">
        <v>430.01144048150064</v>
      </c>
    </row>
    <row r="6" spans="1:6" x14ac:dyDescent="0.25">
      <c r="A6" s="30">
        <v>0.077726</v>
      </c>
      <c r="B6" s="31">
        <v>276.2684179309893</v>
      </c>
      <c r="C6" s="31">
        <v>287.0436729920794</v>
      </c>
      <c r="D6" s="31">
        <v>299.777290101326</v>
      </c>
      <c r="E6" s="31">
        <v>315.0847708872408</v>
      </c>
      <c r="F6" s="31">
        <v>333.86973270576675</v>
      </c>
    </row>
    <row r="7" spans="1:6" x14ac:dyDescent="0.25">
      <c r="A7" s="30">
        <v>0.087726</v>
      </c>
      <c r="B7" s="31">
        <v>239.46525648540427</v>
      </c>
      <c r="C7" s="31">
        <v>246.29350442854854</v>
      </c>
      <c r="D7" s="32">
        <v>254.1415776007188</v>
      </c>
      <c r="E7" s="31">
        <v>263.27447580157883</v>
      </c>
      <c r="F7" s="31">
        <v>274.057718422517</v>
      </c>
    </row>
    <row r="8" spans="1:6" x14ac:dyDescent="0.25">
      <c r="A8" s="30">
        <v>0.097726</v>
      </c>
      <c r="B8" s="31">
        <v>211.53212377206316</v>
      </c>
      <c r="C8" s="31">
        <v>215.98511006184478</v>
      </c>
      <c r="D8" s="31">
        <v>220.99348158833047</v>
      </c>
      <c r="E8" s="31">
        <v>226.68024544703107</v>
      </c>
      <c r="F8" s="31">
        <v>233.20762918287565</v>
      </c>
    </row>
    <row r="9" spans="1:6" x14ac:dyDescent="0.25">
      <c r="A9" s="30">
        <v>0.107726</v>
      </c>
      <c r="B9" s="31">
        <v>189.60133621411998</v>
      </c>
      <c r="C9" s="31">
        <v>192.5505788263222</v>
      </c>
      <c r="D9" s="31">
        <v>195.80829775730837</v>
      </c>
      <c r="E9" s="31">
        <v>199.43402449952313</v>
      </c>
      <c r="F9" s="31">
        <v>203.5036619923338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31189000000</v>
      </c>
      <c r="C5" s="18">
        <v>27716000000</v>
      </c>
      <c r="D5" s="18">
        <v>23651000000</v>
      </c>
      <c r="E5" s="18">
        <v>19523000000</v>
      </c>
      <c r="F5" s="8" t="s">
        <v>84</v>
      </c>
    </row>
    <row r="6" spans="1:6" x14ac:dyDescent="0.25">
      <c r="A6" t="s">
        <v>44</v>
      </c>
      <c r="B6" s="18">
        <v>4592000000</v>
      </c>
      <c r="C6" s="18">
        <v>3990000000</v>
      </c>
      <c r="D6" s="18">
        <v>3174000000</v>
      </c>
      <c r="E6" s="18">
        <v>2715000000</v>
      </c>
      <c r="F6" s="8" t="s">
        <v>85</v>
      </c>
    </row>
    <row r="7" spans="1:6" x14ac:dyDescent="0.25">
      <c r="A7" t="s">
        <v>86</v>
      </c>
      <c r="B7" s="18">
        <v>1478000000</v>
      </c>
      <c r="C7" s="18">
        <v>1406000000</v>
      </c>
      <c r="D7" s="18">
        <v>1484000000</v>
      </c>
      <c r="E7" s="18">
        <v>1615000000</v>
      </c>
      <c r="F7" s="8" t="s">
        <v>87</v>
      </c>
    </row>
    <row r="8" spans="1:6" x14ac:dyDescent="0.25">
      <c r="A8" t="s">
        <v>88</v>
      </c>
      <c r="B8" s="18">
        <v>1800000000</v>
      </c>
      <c r="C8" s="18">
        <v>1544000000</v>
      </c>
      <c r="D8" s="18">
        <v>1325000000</v>
      </c>
      <c r="E8" s="18">
        <v>879000000</v>
      </c>
      <c r="F8" s="8" t="s">
        <v>89</v>
      </c>
    </row>
    <row r="9" spans="1:6" x14ac:dyDescent="0.25">
      <c r="A9" t="s">
        <v>90</v>
      </c>
      <c r="B9" s="18">
        <v>-1071000000</v>
      </c>
      <c r="C9" s="18">
        <v>-7000000</v>
      </c>
      <c r="D9" s="18">
        <v>-758000000</v>
      </c>
      <c r="E9" s="18">
        <v>-729000000</v>
      </c>
      <c r="F9" s="8" t="s">
        <v>91</v>
      </c>
    </row>
    <row r="10" spans="1:6" x14ac:dyDescent="0.25">
      <c r="A10" t="s">
        <v>92</v>
      </c>
      <c r="B10" s="18">
        <v>5325000000</v>
      </c>
      <c r="C10" s="18">
        <v>5058000000</v>
      </c>
      <c r="D10" s="18">
        <v>6582000000</v>
      </c>
      <c r="E10" s="18">
        <v>6949000000</v>
      </c>
      <c r="F10" s="8" t="s">
        <v>93</v>
      </c>
    </row>
    <row r="11" spans="1:6" x14ac:dyDescent="0.25">
      <c r="A11" t="s">
        <v>94</v>
      </c>
      <c r="B11" s="18">
        <v>6904000000</v>
      </c>
      <c r="C11" s="18">
        <v>6619000000</v>
      </c>
      <c r="D11" s="18">
        <v>6848000000</v>
      </c>
      <c r="E11" s="18">
        <v>6929000000</v>
      </c>
      <c r="F11" s="8" t="s">
        <v>95</v>
      </c>
    </row>
    <row r="12" spans="1:6" x14ac:dyDescent="0.25">
      <c r="A12" t="s">
        <v>32</v>
      </c>
      <c r="B12" s="34">
        <v>417883086</v>
      </c>
      <c r="C12" s="34">
        <v>420722353</v>
      </c>
      <c r="D12" s="34">
        <v>431373561</v>
      </c>
      <c r="E12" s="34">
        <v>440159929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2026-09-19T01:05:12Z</dcterms:modified>
</cp:coreProperties>
</file>