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<sst xmlns="http://schemas.openxmlformats.org/spreadsheetml/2006/main" count="114" uniqueCount="102">
  <si>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Banco Santander, S.A. (SAN.MC)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</si>
  <si>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</si>
  <si>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</si>
  <si>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</si>
  <si>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</si>
  <si>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</si>
  <si>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</si>
  <si>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</si>
  <si>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</si>
  <si>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</si>
  <si>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</si>
  <si>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</si>
  <si>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</si>
  <si>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</si>
  <si>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</si>
  <si>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</si>
  <si>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</si>
  <si>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</si>
  <si>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</si>
  <si>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</si>
  <si>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</si>
  <si>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</si>
  <si>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18.2%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</si>
  <si>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</si>
  <si>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</si>
  <si>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</si>
  <si>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</si>
  <si>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</si>
  <si>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</si>
  <si>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</si>
  <si>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</si>
  <si>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</si>
  <si>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</si>
  <si>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</si>
  <si>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</si>
  <si>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</si>
  <si>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</si>
  <si>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</si>
  <si>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</si>
  <si>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</si>
  <si>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</si>
  <si>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</si>
  <si>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</si>
  <si>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</si>
  <si>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</si>
  <si>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</si>
  <si>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</si>
  <si>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</si>
  <si>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</si>
  <si>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</si>
  <si>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</si>
  <si>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</si>
  <si>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</si>
  <si>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</si>
  <si>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</si>
  <si>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</si>
  <si>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</si>
  <si>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</si>
  <si>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</si>
  <si>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</si>
  <si>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</si>
  <si>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</si>
  <si>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</si>
  <si>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</si>
  <si>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</si>
  <si>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</si>
  <si>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</si>
  <si>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</si>
  <si>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</si>
  <si>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</si>
  <si>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</si>
  <si>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</si>
  <si>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</si>
  <si>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</si>
  <si>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</si>
  <si>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</si>
  <si>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</si>
  <si>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</si>
  <si>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</si>
  <si>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</si>
  <si>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</si>
  <si>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</si>
  <si>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</si>
  <si>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</si>
  <si>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</si>
  <si>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</si>
  <si>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</si>
  <si>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</si>
  <si>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</si>
  <si>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</si>
  <si>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</si>
  <si>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</si>
  <si>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</si>
  <si>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</si>
  <si>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</si>
  <si>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</si>
  <si>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</si>
  <si>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</si>
  <si>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</si>
  <si>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18.6% of revenue against depreciation of 5.4%.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</si>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</sst>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0.03449899986581095</v>
      </c>
    </row>
    <row r="7" spans="1:2" x14ac:dyDescent="0.25">
      <c r="A7" t="s">
        <v>5</v>
      </c>
      <c r="B7" s="6">
        <v>0.286216633477714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0.0537896427863367</v>
      </c>
    </row>
    <row r="10" spans="1:2" x14ac:dyDescent="0.25">
      <c r="A10" t="s">
        <v>8</v>
      </c>
      <c r="B10" s="6">
        <v>0.18598862901556334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15.033763233816735</v>
      </c>
    </row>
    <row r="14" spans="1:3" x14ac:dyDescent="0.25">
      <c r="A14" t="s">
        <v>12</v>
      </c>
      <c r="B14" s="6">
        <v>0.06709990049406325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0.95511</v>
      </c>
      <c r="C19" s="8" t="s">
        <v>19</v>
      </c>
    </row>
    <row r="20" spans="1:2" x14ac:dyDescent="0.25">
      <c r="A20" t="s">
        <v>20</v>
      </c>
      <c r="B20" s="10">
        <f>B17+B19*B18</f>
        <v>0.10408215000000001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181707030528</v>
      </c>
    </row>
    <row r="23" spans="1:2" x14ac:dyDescent="0.25">
      <c r="A23" t="s">
        <v>24</v>
      </c>
      <c r="B23" s="11">
        <v>326212000000</v>
      </c>
    </row>
    <row r="24" spans="1:2" x14ac:dyDescent="0.25">
      <c r="A24" t="s">
        <v>25</v>
      </c>
      <c r="B24" s="10">
        <f>B22/(B22+B23)</f>
        <v>0.35774802597789856</v>
      </c>
    </row>
    <row r="25" spans="1:2" x14ac:dyDescent="0.25">
      <c r="A25" t="s">
        <v>26</v>
      </c>
      <c r="B25" s="10">
        <f>1-B24</f>
        <v>0.6422519740221014</v>
      </c>
    </row>
    <row r="26" spans="1:2" x14ac:dyDescent="0.25">
      <c r="A26" t="s">
        <v>27</v>
      </c>
      <c r="B26" s="12">
        <f>B24*B20+B25*B21*(1-B8)</f>
        <v>0.06709990049406325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60023000000</v>
      </c>
      <c r="C29" s="8" t="s">
        <v>30</v>
      </c>
    </row>
    <row r="30" spans="1:2" x14ac:dyDescent="0.25">
      <c r="A30" t="s">
        <v>31</v>
      </c>
      <c r="B30" s="11">
        <v>146916000000</v>
      </c>
    </row>
    <row r="31" spans="1:2" x14ac:dyDescent="0.25">
      <c r="A31" t="s">
        <v>32</v>
      </c>
      <c r="B31" s="13">
        <v>14975574487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0.03449899986581095</v>
      </c>
      <c r="C5" s="10">
        <f>Assumptions!B6</f>
        <v>0.03449899986581095</v>
      </c>
      <c r="D5" s="10">
        <f>Assumptions!B6</f>
        <v>0.03449899986581095</v>
      </c>
      <c r="E5" s="10">
        <f>Assumptions!B6</f>
        <v>0.03449899986581095</v>
      </c>
      <c r="F5" s="10">
        <f>Assumptions!B6</f>
        <v>0.03449899986581095</v>
      </c>
    </row>
    <row r="6" spans="1:6" x14ac:dyDescent="0.25">
      <c r="A6" t="s">
        <v>43</v>
      </c>
      <c r="B6" s="18">
        <f>Assumptions!B29*(1+B5)</f>
        <v>62093733468.94557</v>
      </c>
      <c r="C6" s="18">
        <f>B6*(1+C5)</f>
        <v>64235905171.558426</v>
      </c>
      <c r="D6" s="18">
        <f>C6*(1+D5)</f>
        <v>66451979655.45226</v>
      </c>
      <c r="E6" s="18">
        <f>D6*(1+E5)</f>
        <v>68744506492.66858</v>
      </c>
      <c r="F6" s="18">
        <f>E6*(1+F5)</f>
        <v>71116123212.93439</v>
      </c>
    </row>
    <row r="7" spans="1:6" x14ac:dyDescent="0.25">
      <c r="A7" t="s">
        <v>5</v>
      </c>
      <c r="B7" s="10">
        <f>Assumptions!B7</f>
        <v>0.286216633477714</v>
      </c>
      <c r="C7" s="10">
        <f>Assumptions!B7</f>
        <v>0.286216633477714</v>
      </c>
      <c r="D7" s="10">
        <f>Assumptions!B7</f>
        <v>0.286216633477714</v>
      </c>
      <c r="E7" s="10">
        <f>Assumptions!B7</f>
        <v>0.286216633477714</v>
      </c>
      <c r="F7" s="10">
        <f>Assumptions!B7</f>
        <v>0.286216633477714</v>
      </c>
    </row>
    <row r="8" spans="1:6" x14ac:dyDescent="0.25">
      <c r="A8" t="s">
        <v>44</v>
      </c>
      <c r="B8" s="18">
        <f>B6*B7</f>
        <v>17772259353.544056</v>
      </c>
      <c r="C8" s="18">
        <f>C6*C7</f>
        <v>18385384526.59713</v>
      </c>
      <c r="D8" s="18">
        <f>D6*D7</f>
        <v>19019661904.913086</v>
      </c>
      <c r="E8" s="18">
        <f>E6*E7</f>
        <v>19675821218.418453</v>
      </c>
      <c r="F8" s="18">
        <f>F6*F7</f>
        <v>20354617371.99239</v>
      </c>
    </row>
    <row r="9" spans="1:6" x14ac:dyDescent="0.25">
      <c r="A9" t="s">
        <v>45</v>
      </c>
      <c r="B9" s="18">
        <f>B8*(1-Assumptions!B8)</f>
        <v>13329194515.158043</v>
      </c>
      <c r="C9" s="18">
        <f>C8*(1-Assumptions!B8)</f>
        <v>13789038394.947847</v>
      </c>
      <c r="D9" s="18">
        <f>D8*(1-Assumptions!B8)</f>
        <v>14264746428.684814</v>
      </c>
      <c r="E9" s="18">
        <f>E8*(1-Assumptions!B8)</f>
        <v>14756865913.813839</v>
      </c>
      <c r="F9" s="18">
        <f>F8*(1-Assumptions!B8)</f>
        <v>15265963028.994293</v>
      </c>
    </row>
    <row r="10" spans="1:6" x14ac:dyDescent="0.25">
      <c r="A10" t="s">
        <v>46</v>
      </c>
      <c r="B10" s="18">
        <f>B6*Assumptions!B9</f>
        <v>3339999742.564582</v>
      </c>
      <c r="C10" s="18">
        <f>C6*Assumptions!B9</f>
        <v>3455226393.235126</v>
      </c>
      <c r="D10" s="18">
        <f>D6*Assumptions!B9</f>
        <v>3574428248.111691</v>
      </c>
      <c r="E10" s="18">
        <f>E6*Assumptions!B9</f>
        <v>3697742447.763647</v>
      </c>
      <c r="F10" s="18">
        <f>F6*Assumptions!B9</f>
        <v>3825310863.9728484</v>
      </c>
    </row>
    <row r="11" spans="1:6" x14ac:dyDescent="0.25">
      <c r="A11" t="s">
        <v>47</v>
      </c>
      <c r="B11" s="18">
        <f>-B6*Assumptions!B10</f>
        <v>-11548728358.346987</v>
      </c>
      <c r="C11" s="18">
        <f>-C6*Assumptions!B10</f>
        <v>-11947147936.431887</v>
      </c>
      <c r="D11" s="18">
        <f>-D6*Assumptions!B10</f>
        <v>-12359312591.487675</v>
      </c>
      <c r="E11" s="18">
        <f>-E6*Assumptions!B10</f>
        <v>-12785696514.922922</v>
      </c>
      <c r="F11" s="18">
        <f>-F6*Assumptions!B10</f>
        <v>-13226790257.275547</v>
      </c>
    </row>
    <row r="12" spans="1:6" x14ac:dyDescent="0.25">
      <c r="A12" t="s">
        <v>48</v>
      </c>
      <c r="B12" s="18">
        <f>-(B6-Assumptions!B29)*Assumptions!B11</f>
        <v>-2070733468.945572</v>
      </c>
      <c r="C12" s="18">
        <f>-(C6-B6)*Assumptions!B11</f>
        <v>-2142171702.612854</v>
      </c>
      <c r="D12" s="18">
        <f>-(D6-C6)*Assumptions!B11</f>
        <v>-2216074483.893837</v>
      </c>
      <c r="E12" s="18">
        <f>-(E6-D6)*Assumptions!B11</f>
        <v>-2292526837.216316</v>
      </c>
      <c r="F12" s="18">
        <f>-(F6-E6)*Assumptions!B11</f>
        <v>-2371616720.265808</v>
      </c>
    </row>
    <row r="13" spans="1:6" x14ac:dyDescent="0.25">
      <c r="A13" s="19" t="s">
        <v>49</v>
      </c>
      <c r="B13" s="20">
        <f>B9+B10+B11+B12</f>
        <v>3049732430.430067</v>
      </c>
      <c r="C13" s="20">
        <f>C9+C10+C11+C12</f>
        <v>3154945149.1382313</v>
      </c>
      <c r="D13" s="20">
        <f>D9+D10+D11+D12</f>
        <v>3263787601.4149933</v>
      </c>
      <c r="E13" s="20">
        <f>E9+E10+E11+E12</f>
        <v>3376385009.438246</v>
      </c>
      <c r="F13" s="20">
        <f>F9+F10+F11+F12</f>
        <v>3492866915.425785</v>
      </c>
    </row>
    <row r="14" spans="1:6" x14ac:dyDescent="0.25">
      <c r="A14" t="s">
        <v>50</v>
      </c>
      <c r="B14" s="21">
        <f>1/(1+Assumptions!$B$26)^(1-0.5*Assumptions!$B$32)</f>
        <v>0.9680492666552011</v>
      </c>
      <c r="C14" s="21">
        <f>1/(1+Assumptions!$B$26)^(2-0.5*Assumptions!$B$32)</f>
        <v>0.9071777311636876</v>
      </c>
      <c r="D14" s="21">
        <f>1/(1+Assumptions!$B$26)^(3-0.5*Assumptions!$B$32)</f>
        <v>0.8501338354016035</v>
      </c>
      <c r="E14" s="21">
        <f>1/(1+Assumptions!$B$26)^(4-0.5*Assumptions!$B$32)</f>
        <v>0.7966768950198522</v>
      </c>
      <c r="F14" s="21">
        <f>1/(1+Assumptions!$B$26)^(5-0.5*Assumptions!$B$32)</f>
        <v>0.7465813600497888</v>
      </c>
    </row>
    <row r="15" spans="1:6" x14ac:dyDescent="0.25">
      <c r="A15" s="19" t="s">
        <v>51</v>
      </c>
      <c r="B15" s="20">
        <f>B13*B14</f>
        <v>2952291242.7724104</v>
      </c>
      <c r="C15" s="20">
        <f>C13*C14</f>
        <v>2862095982.3411026</v>
      </c>
      <c r="D15" s="20">
        <f>D13*D14</f>
        <v>2774656271.527128</v>
      </c>
      <c r="E15" s="20">
        <f>E13*E14</f>
        <v>2689887925.710836</v>
      </c>
      <c r="F15" s="20">
        <f>F13*F14</f>
        <v>2607709332.1914935</v>
      </c>
    </row>
    <row r="17" spans="1:2" x14ac:dyDescent="0.25">
      <c r="A17" s="22" t="s">
        <v>52</v>
      </c>
      <c r="B17" s="23">
        <f>SUM(B15:F15)</f>
        <v>13886640754.54297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3492866915.425785</v>
      </c>
    </row>
    <row r="5" spans="1:2" x14ac:dyDescent="0.25">
      <c r="A5" t="s">
        <v>56</v>
      </c>
      <c r="B5" s="18">
        <f>IF(Assumptions!$B$33=0,B4,B4-Forecast!F11-Forecast!F10-Forecast!F12)</f>
        <v>15265963028.994293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0.3725787939463771</v>
      </c>
    </row>
    <row r="7" spans="1:2" x14ac:dyDescent="0.25">
      <c r="A7" t="s">
        <v>58</v>
      </c>
      <c r="B7" s="18">
        <f>-MAX(Forecast!F9,0)*B6</f>
        <v>-5687774093.7726755</v>
      </c>
    </row>
    <row r="8" spans="1:2" x14ac:dyDescent="0.25">
      <c r="A8" t="s">
        <v>59</v>
      </c>
      <c r="B8" s="18">
        <f>IF(OR(Assumptions!$B$33=0,Assumptions!B12&lt;=0),B5,MAX(B5+B7,0))</f>
        <v>9578188935.221619</v>
      </c>
    </row>
    <row r="9" spans="1:2" x14ac:dyDescent="0.25">
      <c r="A9" t="s">
        <v>60</v>
      </c>
      <c r="B9" s="18">
        <f>B8*(1+Assumptions!B12)/(Assumptions!B26-Assumptions!B12)</f>
        <v>233198737844.6797</v>
      </c>
    </row>
    <row r="10" spans="1:2" x14ac:dyDescent="0.25">
      <c r="A10" t="s">
        <v>61</v>
      </c>
      <c r="B10" s="18">
        <f>B9/(1+Assumptions!B26)^(5-0.5*Assumptions!B32)</f>
        <v>174101830861.97513</v>
      </c>
    </row>
    <row r="11" spans="1:2" x14ac:dyDescent="0.25">
      <c r="A11" t="s">
        <v>62</v>
      </c>
      <c r="B11" s="18">
        <f>Forecast!B17+B10</f>
        <v>187988471616.5181</v>
      </c>
    </row>
    <row r="12" spans="1:2" x14ac:dyDescent="0.25">
      <c r="A12" t="s">
        <v>63</v>
      </c>
      <c r="B12" s="18">
        <f>-Assumptions!B30</f>
        <v>-146916000000</v>
      </c>
    </row>
    <row r="13" spans="1:2" x14ac:dyDescent="0.25">
      <c r="A13" t="s">
        <v>64</v>
      </c>
      <c r="B13" s="18">
        <f>B11+B12</f>
        <v>41072471616.5181</v>
      </c>
    </row>
    <row r="14" spans="1:2" x14ac:dyDescent="0.25">
      <c r="A14" s="19" t="s">
        <v>65</v>
      </c>
      <c r="B14" s="24">
        <f>B13/Assumptions!B31</f>
        <v>2.7426307853613427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24179928235.965237</v>
      </c>
    </row>
    <row r="18" spans="1:2" x14ac:dyDescent="0.25">
      <c r="A18" t="s">
        <v>60</v>
      </c>
      <c r="B18" s="18">
        <f>B17*Assumptions!B13</f>
        <v>363515316110.18134</v>
      </c>
    </row>
    <row r="19" spans="1:2" x14ac:dyDescent="0.25">
      <c r="A19" t="s">
        <v>61</v>
      </c>
      <c r="B19" s="18">
        <f>B18/(1+Assumptions!B26)^(5-0.5*Assumptions!B32)</f>
        <v>271393759100.46808</v>
      </c>
    </row>
    <row r="20" spans="1:2" x14ac:dyDescent="0.25">
      <c r="A20" t="s">
        <v>62</v>
      </c>
      <c r="B20" s="18">
        <f>Forecast!B17+B19</f>
        <v>285280399855.01105</v>
      </c>
    </row>
    <row r="21" spans="1:2" x14ac:dyDescent="0.25">
      <c r="A21" t="s">
        <v>63</v>
      </c>
      <c r="B21" s="18">
        <f>-Assumptions!B30</f>
        <v>-146916000000</v>
      </c>
    </row>
    <row r="22" spans="1:2" x14ac:dyDescent="0.25">
      <c r="A22" t="s">
        <v>64</v>
      </c>
      <c r="B22" s="18">
        <f>B20+B21</f>
        <v>138364399855.01105</v>
      </c>
    </row>
    <row r="23" spans="1:2" x14ac:dyDescent="0.25">
      <c r="A23" s="19" t="s">
        <v>65</v>
      </c>
      <c r="B23" s="25">
        <f>B22/Assumptions!B31</f>
        <v>9.23933836228603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12.524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2.7426307853613427</v>
      </c>
    </row>
    <row r="29" spans="1:2" x14ac:dyDescent="0.25">
      <c r="A29" s="19" t="s">
        <v>73</v>
      </c>
      <c r="B29" s="12">
        <f>B28/B26-1</f>
        <v>-0.7810099979749806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</v>
      </c>
      <c r="B5" s="31">
        <v>9.019292659580218</v>
      </c>
      <c r="C5" s="31">
        <v>9.107264381695776</v>
      </c>
      <c r="D5" s="31">
        <v>9.195236103811332</v>
      </c>
      <c r="E5" s="31">
        <v>9.28320782592689</v>
      </c>
      <c r="F5" s="31">
        <v>9.371179548042445</v>
      </c>
    </row>
    <row r="6" spans="1:6" x14ac:dyDescent="0.25">
      <c r="A6" s="30">
        <v>0.0571</v>
      </c>
      <c r="B6" s="31">
        <v>5.252468177989055</v>
      </c>
      <c r="C6" s="31">
        <v>5.321994984676435</v>
      </c>
      <c r="D6" s="31">
        <v>5.391521791363808</v>
      </c>
      <c r="E6" s="31">
        <v>5.4610485980511845</v>
      </c>
      <c r="F6" s="31">
        <v>5.530575404738558</v>
      </c>
    </row>
    <row r="7" spans="1:6" x14ac:dyDescent="0.25">
      <c r="A7" s="30">
        <v>0.0671</v>
      </c>
      <c r="B7" s="31">
        <v>2.6291870163047286</v>
      </c>
      <c r="C7" s="31">
        <v>2.685897736060111</v>
      </c>
      <c r="D7" s="32">
        <v>2.7426084558154913</v>
      </c>
      <c r="E7" s="31">
        <v>2.7993191755708735</v>
      </c>
      <c r="F7" s="31">
        <v>2.856029895326256</v>
      </c>
    </row>
    <row r="8" spans="1:6" x14ac:dyDescent="0.25">
      <c r="A8" s="30">
        <v>0.0771</v>
      </c>
      <c r="B8" s="31">
        <v>0.7034167269086177</v>
      </c>
      <c r="C8" s="31">
        <v>0.7507432091183862</v>
      </c>
      <c r="D8" s="31">
        <v>0.7980696913281548</v>
      </c>
      <c r="E8" s="31">
        <v>0.8453961735379234</v>
      </c>
      <c r="F8" s="31">
        <v>0.8927226557476898</v>
      </c>
    </row>
    <row r="9" spans="1:6" x14ac:dyDescent="0.25">
      <c r="A9" s="30">
        <v>0.0871</v>
      </c>
      <c r="B9" s="31">
        <v>-0.7659737407686512</v>
      </c>
      <c r="C9" s="31">
        <v>-0.7257872731809731</v>
      </c>
      <c r="D9" s="31">
        <v>-0.6856008055932962</v>
      </c>
      <c r="E9" s="31">
        <v>-0.6454143380056171</v>
      </c>
      <c r="F9" s="31">
        <v>-0.6052278704179401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60023000000</v>
      </c>
      <c r="C5" s="18">
        <v>60305000000</v>
      </c>
      <c r="D5" s="18">
        <v>56687000000</v>
      </c>
      <c r="E5" s="18">
        <v>54216000000</v>
      </c>
      <c r="F5" s="8" t="s">
        <v>84</v>
      </c>
    </row>
    <row r="6" spans="1:6" x14ac:dyDescent="0.25">
      <c r="A6" t="s">
        <v>44</v>
      </c>
      <c r="B6" s="18">
        <v>18681000000</v>
      </c>
      <c r="C6" s="18">
        <v>17347000000</v>
      </c>
      <c r="D6" s="18">
        <v>15005000000</v>
      </c>
      <c r="E6" s="18">
        <v>15250000000</v>
      </c>
      <c r="F6" s="8" t="s">
        <v>85</v>
      </c>
    </row>
    <row r="7" spans="1:6" x14ac:dyDescent="0.25">
      <c r="A7" t="s">
        <v>86</v>
      </c>
      <c r="B7" s="18">
        <v>3178000000</v>
      </c>
      <c r="C7" s="18">
        <v>3179000000</v>
      </c>
      <c r="D7" s="18">
        <v>3086000000</v>
      </c>
      <c r="E7" s="18">
        <v>2985000000</v>
      </c>
      <c r="F7" s="8" t="s">
        <v>87</v>
      </c>
    </row>
    <row r="8" spans="1:6" x14ac:dyDescent="0.25">
      <c r="A8" t="s">
        <v>88</v>
      </c>
      <c r="B8" s="18">
        <v>7659000000</v>
      </c>
      <c r="C8" s="18">
        <v>10598000000</v>
      </c>
      <c r="D8" s="18">
        <v>13643000000</v>
      </c>
      <c r="E8" s="18">
        <v>10840000000</v>
      </c>
      <c r="F8" s="8" t="s">
        <v>89</v>
      </c>
    </row>
    <row r="9" spans="1:6" x14ac:dyDescent="0.25">
      <c r="A9" t="s">
        <v>90</v>
      </c>
      <c r="B9" s="18">
        <v>56728000000</v>
      </c>
      <c r="C9" s="18">
        <v>60380000000</v>
      </c>
      <c r="D9" s="18">
        <v>28902000000</v>
      </c>
      <c r="E9" s="18">
        <v>1530000000</v>
      </c>
      <c r="F9" s="8" t="s">
        <v>91</v>
      </c>
    </row>
    <row r="10" spans="1:6" x14ac:dyDescent="0.25">
      <c r="A10" t="s">
        <v>92</v>
      </c>
      <c r="B10" s="18">
        <v>326212000000</v>
      </c>
      <c r="C10" s="18">
        <v>327723000000</v>
      </c>
      <c r="D10" s="18">
        <v>310979000000</v>
      </c>
      <c r="E10" s="18">
        <v>282961000000</v>
      </c>
      <c r="F10" s="8" t="s">
        <v>93</v>
      </c>
    </row>
    <row r="11" spans="1:6" x14ac:dyDescent="0.25">
      <c r="A11" t="s">
        <v>94</v>
      </c>
      <c r="B11" s="18">
        <v>179296000000</v>
      </c>
      <c r="C11" s="18">
        <v>217892000000</v>
      </c>
      <c r="D11" s="18">
        <v>246895000000</v>
      </c>
      <c r="E11" s="18">
        <v>259017000000</v>
      </c>
      <c r="F11" s="8" t="s">
        <v>95</v>
      </c>
    </row>
    <row r="12" spans="1:6" x14ac:dyDescent="0.25">
      <c r="A12" t="s">
        <v>32</v>
      </c>
      <c r="B12" s="34">
        <v>14975574487</v>
      </c>
      <c r="C12" s="34">
        <v>15567717839</v>
      </c>
      <c r="D12" s="34">
        <v>16247265121</v>
      </c>
      <c r="E12" s="34">
        <v>16903660873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