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<sst xmlns="http://schemas.openxmlformats.org/spreadsheetml/2006/main" count="116" uniqueCount="104">
  <si>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Sanford Limited (SAN.NZ)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</si>
  <si>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</si>
  <si>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</si>
  <si>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</si>
  <si>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</si>
  <si>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</si>
  <si>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</si>
  <si>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</si>
  <si>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</si>
  <si>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</si>
  <si>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</si>
  <si>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</si>
  <si>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</si>
  <si>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</si>
  <si>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</si>
  <si>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</si>
  <si>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</si>
  <si>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</si>
  <si>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</si>
  <si>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</si>
  <si>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</si>
  <si>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</si>
  <si>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</si>
  <si>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</si>
  <si>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</si>
  <si>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</si>
  <si>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</si>
  <si>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</si>
  <si>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</si>
  <si>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</si>
  <si>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2025-09-30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</si>
  <si>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</si>
  <si>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</si>
  <si>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</si>
  <si>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</si>
  <si>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</si>
  <si>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</si>
  <si>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</si>
  <si>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</si>
  <si>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</si>
  <si>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</si>
  <si>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</si>
  <si>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</si>
  <si>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</si>
  <si>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</si>
  <si>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</si>
  <si>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</si>
  <si>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</si>
  <si>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</si>
  <si>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</si>
  <si>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</si>
  <si>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</si>
  <si>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</si>
  <si>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</si>
  <si>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</si>
  <si>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</si>
  <si>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</si>
  <si>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</si>
  <si>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</si>
  <si>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</si>
  <si>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</si>
  <si>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</si>
  <si>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</si>
  <si>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</si>
  <si>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</si>
  <si>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</si>
  <si>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</si>
  <si>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</si>
  <si>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</si>
  <si>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</si>
  <si>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</si>
  <si>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</si>
  <si>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</si>
  <si>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</si>
  <si>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</si>
  <si>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</si>
  <si>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</si>
  <si>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</si>
  <si>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</si>
  <si>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</si>
  <si>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</si>
  <si>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</si>
  <si>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</si>
  <si>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</si>
  <si>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</si>
  <si>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</si>
  <si>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</si>
  <si>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</si>
  <si>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</si>
  <si>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</si>
  <si>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</si>
  <si>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</si>
  <si>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</si>
  <si>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</si>
  <si>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</si>
  <si>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</si>
  <si>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</si>
  <si>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</si>
  <si>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2.0%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</si>
  <si>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</si>
  <si>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Consensus rests on as few as 2 analyst estimate(s).</t>
  </si>
  <si>
    <t>Adjusted: Capital expenditure runs at 8.4% of revenue against depreciation of 5.6%.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</si>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</sst>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0.031711268670743475</v>
      </c>
    </row>
    <row r="7" spans="1:2" x14ac:dyDescent="0.25">
      <c r="A7" t="s">
        <v>5</v>
      </c>
      <c r="B7" s="6">
        <v>0.025457817564563223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0.05636604471033198</v>
      </c>
    </row>
    <row r="10" spans="1:2" x14ac:dyDescent="0.25">
      <c r="A10" t="s">
        <v>8</v>
      </c>
      <c r="B10" s="6">
        <v>0.08441276502807081</v>
      </c>
    </row>
    <row r="11" spans="1:2" x14ac:dyDescent="0.25">
      <c r="A11" t="s">
        <v>9</v>
      </c>
      <c r="B11" s="6">
        <v>-0.5906965713511316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7.55390324522404</v>
      </c>
    </row>
    <row r="14" spans="1:3" x14ac:dyDescent="0.25">
      <c r="A14" t="s">
        <v>12</v>
      </c>
      <c r="B14" s="6">
        <v>0.07499208535633625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0.5825899999999999</v>
      </c>
      <c r="C19" s="8" t="s">
        <v>19</v>
      </c>
    </row>
    <row r="20" spans="1:2" x14ac:dyDescent="0.25">
      <c r="A20" t="s">
        <v>20</v>
      </c>
      <c r="B20" s="10">
        <f>B17+B19*B18</f>
        <v>0.08286835</v>
      </c>
    </row>
    <row r="21" spans="1:3" x14ac:dyDescent="0.25">
      <c r="A21" t="s">
        <v>21</v>
      </c>
      <c r="B21" s="6">
        <v>0.06078227433182047</v>
      </c>
      <c r="C21" s="8" t="s">
        <v>22</v>
      </c>
    </row>
    <row r="22" spans="1:2" x14ac:dyDescent="0.25">
      <c r="A22" t="s">
        <v>23</v>
      </c>
      <c r="B22" s="11">
        <v>580485760</v>
      </c>
    </row>
    <row r="23" spans="1:2" x14ac:dyDescent="0.25">
      <c r="A23" t="s">
        <v>24</v>
      </c>
      <c r="B23" s="11">
        <v>146405000</v>
      </c>
    </row>
    <row r="24" spans="1:2" x14ac:dyDescent="0.25">
      <c r="A24" t="s">
        <v>25</v>
      </c>
      <c r="B24" s="10">
        <f>B22/(B22+B23)</f>
        <v>0.7985873420649893</v>
      </c>
    </row>
    <row r="25" spans="1:2" x14ac:dyDescent="0.25">
      <c r="A25" t="s">
        <v>26</v>
      </c>
      <c r="B25" s="10">
        <f>1-B24</f>
        <v>0.20141265793501073</v>
      </c>
    </row>
    <row r="26" spans="1:2" x14ac:dyDescent="0.25">
      <c r="A26" t="s">
        <v>27</v>
      </c>
      <c r="B26" s="12">
        <f>B24*B20+B25*B21*(1-B8)</f>
        <v>0.07499208535633625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584109000</v>
      </c>
      <c r="C29" s="8" t="s">
        <v>30</v>
      </c>
    </row>
    <row r="30" spans="1:2" x14ac:dyDescent="0.25">
      <c r="A30" t="s">
        <v>31</v>
      </c>
      <c r="B30" s="11">
        <v>134816000</v>
      </c>
    </row>
    <row r="31" spans="1:2" x14ac:dyDescent="0.25">
      <c r="A31" t="s">
        <v>32</v>
      </c>
      <c r="B31" s="13">
        <v>93506137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0.031711268670743475</v>
      </c>
      <c r="C5" s="10">
        <f>Assumptions!B6</f>
        <v>0.031711268670743475</v>
      </c>
      <c r="D5" s="10">
        <f>Assumptions!B6</f>
        <v>0.031711268670743475</v>
      </c>
      <c r="E5" s="10">
        <f>Assumptions!B6</f>
        <v>0.031711268670743475</v>
      </c>
      <c r="F5" s="10">
        <f>Assumptions!B6</f>
        <v>0.031711268670743475</v>
      </c>
    </row>
    <row r="6" spans="1:6" x14ac:dyDescent="0.25">
      <c r="A6" t="s">
        <v>43</v>
      </c>
      <c r="B6" s="18">
        <f>Assumptions!B29*(1+B5)</f>
        <v>602631837.4319993</v>
      </c>
      <c r="C6" s="18">
        <f>B6*(1+C5)</f>
        <v>621742057.5383493</v>
      </c>
      <c r="D6" s="18">
        <f>C6*(1+D5)</f>
        <v>641458286.9688487</v>
      </c>
      <c r="E6" s="18">
        <f>D6*(1+E5)</f>
        <v>661799743.0479927</v>
      </c>
      <c r="F6" s="18">
        <f>E6*(1+F5)</f>
        <v>682786252.5060166</v>
      </c>
    </row>
    <row r="7" spans="1:6" x14ac:dyDescent="0.25">
      <c r="A7" t="s">
        <v>5</v>
      </c>
      <c r="B7" s="10">
        <f>Assumptions!B7</f>
        <v>0.025457817564563223</v>
      </c>
      <c r="C7" s="10">
        <f>Assumptions!B7</f>
        <v>0.025457817564563223</v>
      </c>
      <c r="D7" s="10">
        <f>Assumptions!B7</f>
        <v>0.025457817564563223</v>
      </c>
      <c r="E7" s="10">
        <f>Assumptions!B7</f>
        <v>0.025457817564563223</v>
      </c>
      <c r="F7" s="10">
        <f>Assumptions!B7</f>
        <v>0.025457817564563223</v>
      </c>
    </row>
    <row r="8" spans="1:6" x14ac:dyDescent="0.25">
      <c r="A8" t="s">
        <v>44</v>
      </c>
      <c r="B8" s="18">
        <f>B6*B7</f>
        <v>15341691.375941362</v>
      </c>
      <c r="C8" s="18">
        <f>C6*C7</f>
        <v>15828195.873027466</v>
      </c>
      <c r="D8" s="18">
        <f>D6*D7</f>
        <v>16330128.044930194</v>
      </c>
      <c r="E8" s="18">
        <f>E6*E7</f>
        <v>16847977.122790616</v>
      </c>
      <c r="F8" s="18">
        <f>F6*F7</f>
        <v>17382247.851889968</v>
      </c>
    </row>
    <row r="9" spans="1:6" x14ac:dyDescent="0.25">
      <c r="A9" t="s">
        <v>45</v>
      </c>
      <c r="B9" s="18">
        <f>B8*(1-Assumptions!B8)</f>
        <v>11046017.79067778</v>
      </c>
      <c r="C9" s="18">
        <f>C8*(1-Assumptions!B8)</f>
        <v>11396301.028579775</v>
      </c>
      <c r="D9" s="18">
        <f>D8*(1-Assumptions!B8)</f>
        <v>11757692.19234974</v>
      </c>
      <c r="E9" s="18">
        <f>E8*(1-Assumptions!B8)</f>
        <v>12130543.528409243</v>
      </c>
      <c r="F9" s="18">
        <f>F8*(1-Assumptions!B8)</f>
        <v>12515218.453360777</v>
      </c>
    </row>
    <row r="10" spans="1:6" x14ac:dyDescent="0.25">
      <c r="A10" t="s">
        <v>46</v>
      </c>
      <c r="B10" s="18">
        <f>B6*Assumptions!B9</f>
        <v>33967973.09256159</v>
      </c>
      <c r="C10" s="18">
        <f>C6*Assumptions!B9</f>
        <v>35045140.613500394</v>
      </c>
      <c r="D10" s="18">
        <f>D6*Assumptions!B9</f>
        <v>36156466.48309909</v>
      </c>
      <c r="E10" s="18">
        <f>E6*Assumptions!B9</f>
        <v>37303033.90592937</v>
      </c>
      <c r="F10" s="18">
        <f>F6*Assumptions!B9</f>
        <v>38485960.43635415</v>
      </c>
    </row>
    <row r="11" spans="1:6" x14ac:dyDescent="0.25">
      <c r="A11" t="s">
        <v>47</v>
      </c>
      <c r="B11" s="18">
        <f>-B6*Assumptions!B10</f>
        <v>-50869819.69158193</v>
      </c>
      <c r="C11" s="18">
        <f>-C6*Assumptions!B10</f>
        <v>-52482966.21105396</v>
      </c>
      <c r="D11" s="18">
        <f>-D6*Assumptions!B10</f>
        <v>-54147267.653210245</v>
      </c>
      <c r="E11" s="18">
        <f>-E6*Assumptions!B10</f>
        <v>-55864346.20554785</v>
      </c>
      <c r="F11" s="18">
        <f>-F6*Assumptions!B10</f>
        <v>-57635875.497187406</v>
      </c>
    </row>
    <row r="12" spans="1:6" x14ac:dyDescent="0.25">
      <c r="A12" t="s">
        <v>48</v>
      </c>
      <c r="B12" s="18">
        <f>-(B6-Assumptions!B29)*Assumptions!B11</f>
        <v>10941376.562776402</v>
      </c>
      <c r="C12" s="18">
        <f>-(C6-B6)*Assumptions!B11</f>
        <v>11288341.49458637</v>
      </c>
      <c r="D12" s="18">
        <f>-(D6-C6)*Assumptions!B11</f>
        <v>11646309.124568291</v>
      </c>
      <c r="E12" s="18">
        <f>-(E6-D6)*Assumptions!B11</f>
        <v>12015628.362239994</v>
      </c>
      <c r="F12" s="18">
        <f>-(F6-E6)*Assumptions!B11</f>
        <v>12396659.181482816</v>
      </c>
    </row>
    <row r="13" spans="1:6" x14ac:dyDescent="0.25">
      <c r="A13" s="19" t="s">
        <v>49</v>
      </c>
      <c r="B13" s="20">
        <f>B9+B10+B11+B12</f>
        <v>5085547.7544338405</v>
      </c>
      <c r="C13" s="20">
        <f>C9+C10+C11+C12</f>
        <v>5246816.925612584</v>
      </c>
      <c r="D13" s="20">
        <f>D9+D10+D11+D12</f>
        <v>5413200.146806873</v>
      </c>
      <c r="E13" s="20">
        <f>E9+E10+E11+E12</f>
        <v>5584859.591030762</v>
      </c>
      <c r="F13" s="20">
        <f>F9+F10+F11+F12</f>
        <v>5761962.574010337</v>
      </c>
    </row>
    <row r="14" spans="1:6" x14ac:dyDescent="0.25">
      <c r="A14" t="s">
        <v>50</v>
      </c>
      <c r="B14" s="21">
        <f>1/(1+Assumptions!$B$26)^(1-0.5*Assumptions!$B$32)</f>
        <v>0.9644891948535431</v>
      </c>
      <c r="C14" s="21">
        <f>1/(1+Assumptions!$B$26)^(2-0.5*Assumptions!$B$32)</f>
        <v>0.8972058566680853</v>
      </c>
      <c r="D14" s="21">
        <f>1/(1+Assumptions!$B$26)^(3-0.5*Assumptions!$B$32)</f>
        <v>0.8346162440541889</v>
      </c>
      <c r="E14" s="21">
        <f>1/(1+Assumptions!$B$26)^(4-0.5*Assumptions!$B$32)</f>
        <v>0.7763929199325519</v>
      </c>
      <c r="F14" s="21">
        <f>1/(1+Assumptions!$B$26)^(5-0.5*Assumptions!$B$32)</f>
        <v>0.7222312894286982</v>
      </c>
    </row>
    <row r="15" spans="1:6" x14ac:dyDescent="0.25">
      <c r="A15" s="19" t="s">
        <v>51</v>
      </c>
      <c r="B15" s="20">
        <f>B13*B14</f>
        <v>4904955.859063139</v>
      </c>
      <c r="C15" s="20">
        <f>C13*C14</f>
        <v>4707474.874524848</v>
      </c>
      <c r="D15" s="20">
        <f>D13*D14</f>
        <v>4517944.774841537</v>
      </c>
      <c r="E15" s="20">
        <f>E13*E14</f>
        <v>4336045.445293691</v>
      </c>
      <c r="F15" s="20">
        <f>F13*F14</f>
        <v>4161469.6594673865</v>
      </c>
    </row>
    <row r="17" spans="1:2" x14ac:dyDescent="0.25">
      <c r="A17" s="22" t="s">
        <v>52</v>
      </c>
      <c r="B17" s="23">
        <f>SUM(B15:F15)</f>
        <v>22627890.613190603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5761962.574010337</v>
      </c>
    </row>
    <row r="5" spans="1:2" x14ac:dyDescent="0.25">
      <c r="A5" t="s">
        <v>56</v>
      </c>
      <c r="B5" s="18">
        <f>IF(Assumptions!$B$33=0,B4,B4-Forecast!F11-Forecast!F10-Forecast!F12)</f>
        <v>12515218.453360777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0.3333685132398801</v>
      </c>
    </row>
    <row r="7" spans="1:2" x14ac:dyDescent="0.25">
      <c r="A7" t="s">
        <v>58</v>
      </c>
      <c r="B7" s="18">
        <f>-MAX(Forecast!F9,0)*B6</f>
        <v>-4172179.768669194</v>
      </c>
    </row>
    <row r="8" spans="1:2" x14ac:dyDescent="0.25">
      <c r="A8" t="s">
        <v>59</v>
      </c>
      <c r="B8" s="18">
        <f>IF(OR(Assumptions!$B$33=0,Assumptions!B12&lt;=0),B5,MAX(B5+B7,0))</f>
        <v>8343038.684691584</v>
      </c>
    </row>
    <row r="9" spans="1:2" x14ac:dyDescent="0.25">
      <c r="A9" t="s">
        <v>60</v>
      </c>
      <c r="B9" s="18">
        <f>B8*(1+Assumptions!B12)/(Assumptions!B26-Assumptions!B12)</f>
        <v>171059370.51543695</v>
      </c>
    </row>
    <row r="10" spans="1:2" x14ac:dyDescent="0.25">
      <c r="A10" t="s">
        <v>61</v>
      </c>
      <c r="B10" s="18">
        <f>B9/(1+Assumptions!B26)^(5-0.5*Assumptions!B32)</f>
        <v>123544429.73622546</v>
      </c>
    </row>
    <row r="11" spans="1:2" x14ac:dyDescent="0.25">
      <c r="A11" t="s">
        <v>62</v>
      </c>
      <c r="B11" s="18">
        <f>Forecast!B17+B10</f>
        <v>146172320.34941605</v>
      </c>
    </row>
    <row r="12" spans="1:2" x14ac:dyDescent="0.25">
      <c r="A12" t="s">
        <v>63</v>
      </c>
      <c r="B12" s="18">
        <f>-Assumptions!B30</f>
        <v>-134816000</v>
      </c>
    </row>
    <row r="13" spans="1:2" x14ac:dyDescent="0.25">
      <c r="A13" t="s">
        <v>64</v>
      </c>
      <c r="B13" s="18">
        <f>B11+B12</f>
        <v>11356320.349416047</v>
      </c>
    </row>
    <row r="14" spans="1:2" x14ac:dyDescent="0.25">
      <c r="A14" s="19" t="s">
        <v>65</v>
      </c>
      <c r="B14" s="24">
        <f>B13/Assumptions!B31</f>
        <v>0.12145000011513733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55868208.28824412</v>
      </c>
    </row>
    <row r="18" spans="1:2" x14ac:dyDescent="0.25">
      <c r="A18" t="s">
        <v>60</v>
      </c>
      <c r="B18" s="18">
        <f>B17*Assumptions!B13</f>
        <v>422023039.89341986</v>
      </c>
    </row>
    <row r="19" spans="1:2" x14ac:dyDescent="0.25">
      <c r="A19" t="s">
        <v>61</v>
      </c>
      <c r="B19" s="18">
        <f>B18/(1+Assumptions!B26)^(5-0.5*Assumptions!B32)</f>
        <v>304798244.27084357</v>
      </c>
    </row>
    <row r="20" spans="1:2" x14ac:dyDescent="0.25">
      <c r="A20" t="s">
        <v>62</v>
      </c>
      <c r="B20" s="18">
        <f>Forecast!B17+B19</f>
        <v>327426134.88403416</v>
      </c>
    </row>
    <row r="21" spans="1:2" x14ac:dyDescent="0.25">
      <c r="A21" t="s">
        <v>63</v>
      </c>
      <c r="B21" s="18">
        <f>-Assumptions!B30</f>
        <v>-134816000</v>
      </c>
    </row>
    <row r="22" spans="1:2" x14ac:dyDescent="0.25">
      <c r="A22" t="s">
        <v>64</v>
      </c>
      <c r="B22" s="18">
        <f>B20+B21</f>
        <v>192610134.88403416</v>
      </c>
    </row>
    <row r="23" spans="1:2" x14ac:dyDescent="0.25">
      <c r="A23" s="19" t="s">
        <v>65</v>
      </c>
      <c r="B23" s="25">
        <f>B22/Assumptions!B31</f>
        <v>2.0598662404803885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0.12145000011513733</v>
      </c>
    </row>
    <row r="29" spans="1:2" x14ac:dyDescent="0.25">
      <c r="A29" s="19" t="s">
        <v>73</v>
      </c>
      <c r="B29" s="12">
        <f>B28/B26-1</f>
        <v>-0.9804112903040101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0.054992</v>
      </c>
      <c r="B5" s="31">
        <v>0.753064562790831</v>
      </c>
      <c r="C5" s="31">
        <v>0.7626287388029344</v>
      </c>
      <c r="D5" s="31">
        <v>0.7721929148150368</v>
      </c>
      <c r="E5" s="31">
        <v>0.78175709082714</v>
      </c>
      <c r="F5" s="31">
        <v>0.7913212668392428</v>
      </c>
    </row>
    <row r="6" spans="1:6" x14ac:dyDescent="0.25">
      <c r="A6" s="30">
        <v>0.064992</v>
      </c>
      <c r="B6" s="31">
        <v>0.3802699448121032</v>
      </c>
      <c r="C6" s="31">
        <v>0.3880261603148209</v>
      </c>
      <c r="D6" s="31">
        <v>0.395782375817538</v>
      </c>
      <c r="E6" s="31">
        <v>0.40353859132025544</v>
      </c>
      <c r="F6" s="31">
        <v>0.4112948068229728</v>
      </c>
    </row>
    <row r="7" spans="1:6" x14ac:dyDescent="0.25">
      <c r="A7" s="30">
        <v>0.074992</v>
      </c>
      <c r="B7" s="31">
        <v>0.10856181711272929</v>
      </c>
      <c r="C7" s="31">
        <v>0.11500691981322221</v>
      </c>
      <c r="D7" s="32">
        <v>0.12145202251371451</v>
      </c>
      <c r="E7" s="31">
        <v>0.12789712521420712</v>
      </c>
      <c r="F7" s="31">
        <v>0.13434222791470007</v>
      </c>
    </row>
    <row r="8" spans="1:6" x14ac:dyDescent="0.25">
      <c r="A8" s="30">
        <v>0.084992</v>
      </c>
      <c r="B8" s="31">
        <v>-0.0978272766462456</v>
      </c>
      <c r="C8" s="31">
        <v>-0.09237257674128747</v>
      </c>
      <c r="D8" s="31">
        <v>-0.08691787683632933</v>
      </c>
      <c r="E8" s="31">
        <v>-0.0814631769313715</v>
      </c>
      <c r="F8" s="31">
        <v>-0.07600847702641336</v>
      </c>
    </row>
    <row r="9" spans="1:6" x14ac:dyDescent="0.25">
      <c r="A9" s="30">
        <v>0.094992</v>
      </c>
      <c r="B9" s="31">
        <v>-0.259598342125854</v>
      </c>
      <c r="C9" s="31">
        <v>-0.25491525719719066</v>
      </c>
      <c r="D9" s="31">
        <v>-0.2502321722685282</v>
      </c>
      <c r="E9" s="31">
        <v>-0.24554908733986505</v>
      </c>
      <c r="F9" s="31">
        <v>-0.24086600241120223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584109000</v>
      </c>
      <c r="C5" s="18">
        <v>582913000</v>
      </c>
      <c r="D5" s="18">
        <v>553397000</v>
      </c>
      <c r="E5" s="18">
        <v>531887000</v>
      </c>
      <c r="F5" s="8" t="s">
        <v>84</v>
      </c>
    </row>
    <row r="6" spans="1:6" x14ac:dyDescent="0.25">
      <c r="A6" t="s">
        <v>44</v>
      </c>
      <c r="B6" s="18">
        <v>50383000</v>
      </c>
      <c r="C6" s="18">
        <v>12441000</v>
      </c>
      <c r="D6" s="18">
        <v>-2373000</v>
      </c>
      <c r="E6" s="18">
        <v>-787000</v>
      </c>
      <c r="F6" s="8" t="s">
        <v>85</v>
      </c>
    </row>
    <row r="7" spans="1:6" x14ac:dyDescent="0.25">
      <c r="A7" t="s">
        <v>86</v>
      </c>
      <c r="B7" s="18">
        <v>44310000</v>
      </c>
      <c r="C7" s="18">
        <v>34442000</v>
      </c>
      <c r="D7" s="18">
        <v>25627000</v>
      </c>
      <c r="E7" s="18">
        <v>23515000</v>
      </c>
      <c r="F7" s="8" t="s">
        <v>87</v>
      </c>
    </row>
    <row r="8" spans="1:6" x14ac:dyDescent="0.25">
      <c r="A8" t="s">
        <v>88</v>
      </c>
      <c r="B8" s="18">
        <v>23046000</v>
      </c>
      <c r="C8" s="18">
        <v>47406000</v>
      </c>
      <c r="D8" s="18">
        <v>64412000</v>
      </c>
      <c r="E8" s="18">
        <v>53442000</v>
      </c>
      <c r="F8" s="8" t="s">
        <v>89</v>
      </c>
    </row>
    <row r="9" spans="1:6" x14ac:dyDescent="0.25">
      <c r="A9" t="s">
        <v>90</v>
      </c>
      <c r="B9" s="18">
        <v>-1831000</v>
      </c>
      <c r="C9" s="18">
        <v>-17435000</v>
      </c>
      <c r="D9" s="18">
        <v>19045000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146405000</v>
      </c>
      <c r="C10" s="18">
        <v>234331000</v>
      </c>
      <c r="D10" s="18">
        <v>244000000</v>
      </c>
      <c r="E10" s="18">
        <v>193511000</v>
      </c>
      <c r="F10" s="8" t="s">
        <v>93</v>
      </c>
    </row>
    <row r="11" spans="1:6" x14ac:dyDescent="0.25">
      <c r="A11" t="s">
        <v>94</v>
      </c>
      <c r="B11" s="18">
        <v>11589000</v>
      </c>
      <c r="C11" s="18">
        <v>14475000</v>
      </c>
      <c r="D11" s="18">
        <v>25633000</v>
      </c>
      <c r="E11" s="18">
        <v>9534000</v>
      </c>
      <c r="F11" s="8" t="s">
        <v>95</v>
      </c>
    </row>
    <row r="12" spans="1:6" x14ac:dyDescent="0.25">
      <c r="A12" t="s">
        <v>32</v>
      </c>
      <c r="B12" s="34">
        <v>93506137</v>
      </c>
      <c r="C12" s="34">
        <v>93506137</v>
      </c>
      <c r="D12" s="34">
        <v>93506137</v>
      </c>
      <c r="E12" s="34">
        <v>93626735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2026-09-19T01:06:39Z</dcterms:modified>
</cp:coreProperties>
</file>