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<sst xmlns="http://schemas.openxmlformats.org/spreadsheetml/2006/main" count="112" uniqueCount="100">
  <si>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Sandvik AB (publ) (SAND.ST)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</si>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</sst>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0.024182309478812503</v>
      </c>
    </row>
    <row r="7" spans="1:2" x14ac:dyDescent="0.25">
      <c r="A7" t="s">
        <v>5</v>
      </c>
      <c r="B7" s="6">
        <v>0.17014780570989635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0.06113470705436354</v>
      </c>
    </row>
    <row r="10" spans="1:2" x14ac:dyDescent="0.25">
      <c r="A10" t="s">
        <v>8</v>
      </c>
      <c r="B10" s="6">
        <v>0.038398258294436174</v>
      </c>
    </row>
    <row r="11" spans="1:2" x14ac:dyDescent="0.25">
      <c r="A11" t="s">
        <v>9</v>
      </c>
      <c r="B11" s="6">
        <v>0.1697833603838826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17.474196576741566</v>
      </c>
    </row>
    <row r="14" spans="1:3" x14ac:dyDescent="0.25">
      <c r="A14" t="s">
        <v>12</v>
      </c>
      <c r="B14" s="6">
        <v>0.11878814353193438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1.21842</v>
      </c>
      <c r="C19" s="8" t="s">
        <v>19</v>
      </c>
    </row>
    <row r="20" spans="1:2" x14ac:dyDescent="0.25">
      <c r="A20" t="s">
        <v>20</v>
      </c>
      <c r="B20" s="10">
        <f>B17+B19*B18</f>
        <v>0.12119730000000001</v>
      </c>
    </row>
    <row r="21" spans="1:3" x14ac:dyDescent="0.25">
      <c r="A21" t="s">
        <v>21</v>
      </c>
      <c r="B21" s="6">
        <v>0.04566907447514366</v>
      </c>
      <c r="C21" s="8" t="s">
        <v>22</v>
      </c>
    </row>
    <row r="22" spans="1:2" x14ac:dyDescent="0.25">
      <c r="A22" t="s">
        <v>23</v>
      </c>
      <c r="B22" s="11">
        <v>463997337600</v>
      </c>
    </row>
    <row r="23" spans="1:2" x14ac:dyDescent="0.25">
      <c r="A23" t="s">
        <v>24</v>
      </c>
      <c r="B23" s="11">
        <v>37123000000</v>
      </c>
    </row>
    <row r="24" spans="1:2" x14ac:dyDescent="0.25">
      <c r="A24" t="s">
        <v>25</v>
      </c>
      <c r="B24" s="10">
        <f>B22/(B22+B23)</f>
        <v>0.9259199892429191</v>
      </c>
    </row>
    <row r="25" spans="1:2" x14ac:dyDescent="0.25">
      <c r="A25" t="s">
        <v>26</v>
      </c>
      <c r="B25" s="10">
        <f>1-B24</f>
        <v>0.07408001075708093</v>
      </c>
    </row>
    <row r="26" spans="1:2" x14ac:dyDescent="0.25">
      <c r="A26" t="s">
        <v>27</v>
      </c>
      <c r="B26" s="12">
        <f>B24*B20+B25*B21*(1-B8)</f>
        <v>0.11475637685855927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120680000000</v>
      </c>
      <c r="C29" s="8" t="s">
        <v>30</v>
      </c>
    </row>
    <row r="30" spans="1:2" x14ac:dyDescent="0.25">
      <c r="A30" t="s">
        <v>31</v>
      </c>
      <c r="B30" s="11">
        <v>32165000000</v>
      </c>
    </row>
    <row r="31" spans="1:2" x14ac:dyDescent="0.25">
      <c r="A31" t="s">
        <v>32</v>
      </c>
      <c r="B31" s="13">
        <v>1255397000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0.024182309478812503</v>
      </c>
      <c r="C5" s="10">
        <f>Assumptions!B6</f>
        <v>0.024182309478812503</v>
      </c>
      <c r="D5" s="10">
        <f>Assumptions!B6</f>
        <v>0.024182309478812503</v>
      </c>
      <c r="E5" s="10">
        <f>Assumptions!B6</f>
        <v>0.024182309478812503</v>
      </c>
      <c r="F5" s="10">
        <f>Assumptions!B6</f>
        <v>0.024182309478812503</v>
      </c>
    </row>
    <row r="6" spans="1:6" x14ac:dyDescent="0.25">
      <c r="A6" t="s">
        <v>43</v>
      </c>
      <c r="B6" s="18">
        <f>Assumptions!B29*(1+B5)</f>
        <v>123598321107.90309</v>
      </c>
      <c r="C6" s="18">
        <f>B6*(1+C5)</f>
        <v>126587213959.99605</v>
      </c>
      <c r="D6" s="18">
        <f>C6*(1+D5)</f>
        <v>129648385144.03732</v>
      </c>
      <c r="E6" s="18">
        <f>D6*(1+E5)</f>
        <v>132783582517.0187</v>
      </c>
      <c r="F6" s="18">
        <f>E6*(1+F5)</f>
        <v>135994596203.1507</v>
      </c>
    </row>
    <row r="7" spans="1:6" x14ac:dyDescent="0.25">
      <c r="A7" t="s">
        <v>5</v>
      </c>
      <c r="B7" s="10">
        <f>Assumptions!B7</f>
        <v>0.17014780570989635</v>
      </c>
      <c r="C7" s="10">
        <f>Assumptions!B7</f>
        <v>0.17014780570989635</v>
      </c>
      <c r="D7" s="10">
        <f>Assumptions!B7</f>
        <v>0.17014780570989635</v>
      </c>
      <c r="E7" s="10">
        <f>Assumptions!B7</f>
        <v>0.17014780570989635</v>
      </c>
      <c r="F7" s="10">
        <f>Assumptions!B7</f>
        <v>0.17014780570989635</v>
      </c>
    </row>
    <row r="8" spans="1:6" x14ac:dyDescent="0.25">
      <c r="A8" t="s">
        <v>44</v>
      </c>
      <c r="B8" s="18">
        <f>B6*B7</f>
        <v>21029983125.936874</v>
      </c>
      <c r="C8" s="18">
        <f>C6*C7</f>
        <v>21538536686.222485</v>
      </c>
      <c r="D8" s="18">
        <f>D6*D7</f>
        <v>22059388246.089474</v>
      </c>
      <c r="E8" s="18">
        <f>E6*E7</f>
        <v>22592835199.569687</v>
      </c>
      <c r="F8" s="18">
        <f>F6*F7</f>
        <v>23139182132.36949</v>
      </c>
    </row>
    <row r="9" spans="1:6" x14ac:dyDescent="0.25">
      <c r="A9" t="s">
        <v>45</v>
      </c>
      <c r="B9" s="18">
        <f>B8*(1-Assumptions!B8)</f>
        <v>15772487344.452656</v>
      </c>
      <c r="C9" s="18">
        <f>C8*(1-Assumptions!B8)</f>
        <v>16153902514.666862</v>
      </c>
      <c r="D9" s="18">
        <f>D8*(1-Assumptions!B8)</f>
        <v>16544541184.567104</v>
      </c>
      <c r="E9" s="18">
        <f>E8*(1-Assumptions!B8)</f>
        <v>16944626399.677265</v>
      </c>
      <c r="F9" s="18">
        <f>F8*(1-Assumptions!B8)</f>
        <v>17354386599.27712</v>
      </c>
    </row>
    <row r="10" spans="1:6" x14ac:dyDescent="0.25">
      <c r="A10" t="s">
        <v>46</v>
      </c>
      <c r="B10" s="18">
        <f>B6*Assumptions!B9</f>
        <v>7556147153.342813</v>
      </c>
      <c r="C10" s="18">
        <f>C6*Assumptions!B9</f>
        <v>7738872242.272397</v>
      </c>
      <c r="D10" s="18">
        <f>D6*Assumptions!B9</f>
        <v>7926016045.852019</v>
      </c>
      <c r="E10" s="18">
        <f>E6*Assumptions!B9</f>
        <v>8117685418.806847</v>
      </c>
      <c r="F10" s="18">
        <f>F6*Assumptions!B9</f>
        <v>8313989799.856077</v>
      </c>
    </row>
    <row r="11" spans="1:6" x14ac:dyDescent="0.25">
      <c r="A11" t="s">
        <v>47</v>
      </c>
      <c r="B11" s="18">
        <f>-B6*Assumptions!B10</f>
        <v>-4745960258.659925</v>
      </c>
      <c r="C11" s="18">
        <f>-C6*Assumptions!B10</f>
        <v>-4860728538.408985</v>
      </c>
      <c r="D11" s="18">
        <f>-D6*Assumptions!B10</f>
        <v>-4978272180.217287</v>
      </c>
      <c r="E11" s="18">
        <f>-E6*Assumptions!B10</f>
        <v>-5098658298.7490635</v>
      </c>
      <c r="F11" s="18">
        <f>-F6*Assumptions!B10</f>
        <v>-5221955631.65613</v>
      </c>
    </row>
    <row r="12" spans="1:6" x14ac:dyDescent="0.25">
      <c r="A12" t="s">
        <v>48</v>
      </c>
      <c r="B12" s="18">
        <f>-(B6-Assumptions!B29)*Assumptions!B11</f>
        <v>-495482364.3790021</v>
      </c>
      <c r="C12" s="18">
        <f>-(C6-B6)*Assumptions!B11</f>
        <v>-507464272.2557091</v>
      </c>
      <c r="D12" s="18">
        <f>-(D6-C6)*Assumptions!B11</f>
        <v>-519735930.33683634</v>
      </c>
      <c r="E12" s="18">
        <f>-(E6-D6)*Assumptions!B11</f>
        <v>-532304345.4515003</v>
      </c>
      <c r="F12" s="18">
        <f>-(F6-E6)*Assumptions!B11</f>
        <v>-545176693.8701266</v>
      </c>
    </row>
    <row r="13" spans="1:6" x14ac:dyDescent="0.25">
      <c r="A13" s="19" t="s">
        <v>49</v>
      </c>
      <c r="B13" s="20">
        <f>B9+B10+B11+B12</f>
        <v>18087191874.756542</v>
      </c>
      <c r="C13" s="20">
        <f>C9+C10+C11+C12</f>
        <v>18524581946.274563</v>
      </c>
      <c r="D13" s="20">
        <f>D9+D10+D11+D12</f>
        <v>18972549119.864998</v>
      </c>
      <c r="E13" s="20">
        <f>E9+E10+E11+E12</f>
        <v>19431349174.283546</v>
      </c>
      <c r="F13" s="20">
        <f>F9+F10+F11+F12</f>
        <v>19901244073.60694</v>
      </c>
    </row>
    <row r="14" spans="1:6" x14ac:dyDescent="0.25">
      <c r="A14" t="s">
        <v>50</v>
      </c>
      <c r="B14" s="21">
        <f>1/(1+Assumptions!$B$26)^(1-0.5*Assumptions!$B$32)</f>
        <v>0.9471309254758727</v>
      </c>
      <c r="C14" s="21">
        <f>1/(1+Assumptions!$B$26)^(2-0.5*Assumptions!$B$32)</f>
        <v>0.8496304171364656</v>
      </c>
      <c r="D14" s="21">
        <f>1/(1+Assumptions!$B$26)^(3-0.5*Assumptions!$B$32)</f>
        <v>0.7621669046027506</v>
      </c>
      <c r="E14" s="21">
        <f>1/(1+Assumptions!$B$26)^(4-0.5*Assumptions!$B$32)</f>
        <v>0.6837071493150603</v>
      </c>
      <c r="F14" s="21">
        <f>1/(1+Assumptions!$B$26)^(5-0.5*Assumptions!$B$32)</f>
        <v>0.6133242774011145</v>
      </c>
    </row>
    <row r="15" spans="1:6" x14ac:dyDescent="0.25">
      <c r="A15" s="19" t="s">
        <v>51</v>
      </c>
      <c r="B15" s="20">
        <f>B13*B14</f>
        <v>17130938779.597849</v>
      </c>
      <c r="C15" s="20">
        <f>C13*C14</f>
        <v>15739048286.291897</v>
      </c>
      <c r="D15" s="20">
        <f>D13*D14</f>
        <v>14460249035.111145</v>
      </c>
      <c r="E15" s="20">
        <f>E13*E14</f>
        <v>13285352351.294954</v>
      </c>
      <c r="F15" s="20">
        <f>F13*F14</f>
        <v>12205916140.82819</v>
      </c>
    </row>
    <row r="17" spans="1:2" x14ac:dyDescent="0.25">
      <c r="A17" s="22" t="s">
        <v>52</v>
      </c>
      <c r="B17" s="23">
        <f>SUM(B15:F15)</f>
        <v>72821504593.12404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19901244073.60694</v>
      </c>
    </row>
    <row r="5" spans="1:2" x14ac:dyDescent="0.25">
      <c r="A5" t="s">
        <v>56</v>
      </c>
      <c r="B5" s="18">
        <f>IF(Assumptions!$B$33=0,B4,B4-Forecast!F11-Forecast!F10-Forecast!F12)</f>
        <v>17354386599.27712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0.21045871462145657</v>
      </c>
    </row>
    <row r="7" spans="1:2" x14ac:dyDescent="0.25">
      <c r="A7" t="s">
        <v>58</v>
      </c>
      <c r="B7" s="18">
        <f>-MAX(Forecast!F9,0)*B6</f>
        <v>-3652381896.7276936</v>
      </c>
    </row>
    <row r="8" spans="1:2" x14ac:dyDescent="0.25">
      <c r="A8" t="s">
        <v>59</v>
      </c>
      <c r="B8" s="18">
        <f>IF(OR(Assumptions!$B$33=0,Assumptions!B12&lt;=0),B5,MAX(B5+B7,0))</f>
        <v>13702004702.549425</v>
      </c>
    </row>
    <row r="9" spans="1:2" x14ac:dyDescent="0.25">
      <c r="A9" t="s">
        <v>60</v>
      </c>
      <c r="B9" s="18">
        <f>B8*(1+Assumptions!B12)/(Assumptions!B26-Assumptions!B12)</f>
        <v>156474172773.7627</v>
      </c>
    </row>
    <row r="10" spans="1:2" x14ac:dyDescent="0.25">
      <c r="A10" t="s">
        <v>61</v>
      </c>
      <c r="B10" s="18">
        <f>B9/(1+Assumptions!B26)^(5-0.5*Assumptions!B32)</f>
        <v>95969408948.40515</v>
      </c>
    </row>
    <row r="11" spans="1:2" x14ac:dyDescent="0.25">
      <c r="A11" t="s">
        <v>62</v>
      </c>
      <c r="B11" s="18">
        <f>Forecast!B17+B10</f>
        <v>168790913541.52917</v>
      </c>
    </row>
    <row r="12" spans="1:2" x14ac:dyDescent="0.25">
      <c r="A12" t="s">
        <v>63</v>
      </c>
      <c r="B12" s="18">
        <f>-Assumptions!B30</f>
        <v>-32165000000</v>
      </c>
    </row>
    <row r="13" spans="1:2" x14ac:dyDescent="0.25">
      <c r="A13" t="s">
        <v>64</v>
      </c>
      <c r="B13" s="18">
        <f>B11+B12</f>
        <v>136625913541.52917</v>
      </c>
    </row>
    <row r="14" spans="1:2" x14ac:dyDescent="0.25">
      <c r="A14" s="19" t="s">
        <v>65</v>
      </c>
      <c r="B14" s="24">
        <f>B13/Assumptions!B31</f>
        <v>108.83084278640874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31453171932.22557</v>
      </c>
    </row>
    <row r="18" spans="1:2" x14ac:dyDescent="0.25">
      <c r="A18" t="s">
        <v>60</v>
      </c>
      <c r="B18" s="18">
        <f>B17*Assumptions!B13</f>
        <v>549618909305.75995</v>
      </c>
    </row>
    <row r="19" spans="1:2" x14ac:dyDescent="0.25">
      <c r="A19" t="s">
        <v>61</v>
      </c>
      <c r="B19" s="18">
        <f>B18/(1+Assumptions!B26)^(5-0.5*Assumptions!B32)</f>
        <v>337094620395.9439</v>
      </c>
    </row>
    <row r="20" spans="1:2" x14ac:dyDescent="0.25">
      <c r="A20" t="s">
        <v>62</v>
      </c>
      <c r="B20" s="18">
        <f>Forecast!B17+B19</f>
        <v>409916124989.06793</v>
      </c>
    </row>
    <row r="21" spans="1:2" x14ac:dyDescent="0.25">
      <c r="A21" t="s">
        <v>63</v>
      </c>
      <c r="B21" s="18">
        <f>-Assumptions!B30</f>
        <v>-32165000000</v>
      </c>
    </row>
    <row r="22" spans="1:2" x14ac:dyDescent="0.25">
      <c r="A22" t="s">
        <v>64</v>
      </c>
      <c r="B22" s="18">
        <f>B20+B21</f>
        <v>377751124989.06793</v>
      </c>
    </row>
    <row r="23" spans="1:2" x14ac:dyDescent="0.25">
      <c r="A23" s="19" t="s">
        <v>65</v>
      </c>
      <c r="B23" s="25">
        <f>B22/Assumptions!B31</f>
        <v>300.90172669607136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369.9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108.83084278640874</v>
      </c>
    </row>
    <row r="29" spans="1:2" x14ac:dyDescent="0.25">
      <c r="A29" s="19" t="s">
        <v>73</v>
      </c>
      <c r="B29" s="12">
        <f>B28/B26-1</f>
        <v>-0.7057830689742938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0.094756</v>
      </c>
      <c r="B5" s="31">
        <v>137.18233578662176</v>
      </c>
      <c r="C5" s="31">
        <v>139.27793294016809</v>
      </c>
      <c r="D5" s="31">
        <v>141.61844540772438</v>
      </c>
      <c r="E5" s="31">
        <v>144.2606050706631</v>
      </c>
      <c r="F5" s="31">
        <v>147.2801316547144</v>
      </c>
    </row>
    <row r="6" spans="1:6" x14ac:dyDescent="0.25">
      <c r="A6" s="30">
        <v>0.104756</v>
      </c>
      <c r="B6" s="31">
        <v>120.8597245427428</v>
      </c>
      <c r="C6" s="31">
        <v>121.98869396287891</v>
      </c>
      <c r="D6" s="31">
        <v>123.21261874876193</v>
      </c>
      <c r="E6" s="31">
        <v>124.55055195949365</v>
      </c>
      <c r="F6" s="31">
        <v>126.02700942701287</v>
      </c>
    </row>
    <row r="7" spans="1:6" x14ac:dyDescent="0.25">
      <c r="A7" s="30">
        <v>0.114756</v>
      </c>
      <c r="B7" s="31">
        <v>107.7592659107726</v>
      </c>
      <c r="C7" s="31">
        <v>108.28584234155345</v>
      </c>
      <c r="D7" s="32">
        <v>108.83132576576502</v>
      </c>
      <c r="E7" s="31">
        <v>109.39906231703168</v>
      </c>
      <c r="F7" s="31">
        <v>109.99323722161628</v>
      </c>
    </row>
    <row r="8" spans="1:6" x14ac:dyDescent="0.25">
      <c r="A8" s="30">
        <v>0.124756</v>
      </c>
      <c r="B8" s="31">
        <v>97.45771716884627</v>
      </c>
      <c r="C8" s="31">
        <v>97.78413532737721</v>
      </c>
      <c r="D8" s="31">
        <v>98.11055348590814</v>
      </c>
      <c r="E8" s="31">
        <v>98.4369716444391</v>
      </c>
      <c r="F8" s="31">
        <v>98.76338980297005</v>
      </c>
    </row>
    <row r="9" spans="1:6" x14ac:dyDescent="0.25">
      <c r="A9" s="30">
        <v>0.134756</v>
      </c>
      <c r="B9" s="31">
        <v>88.99770599355861</v>
      </c>
      <c r="C9" s="31">
        <v>89.28810082320436</v>
      </c>
      <c r="D9" s="31">
        <v>89.57849565285007</v>
      </c>
      <c r="E9" s="31">
        <v>89.86889048249584</v>
      </c>
      <c r="F9" s="31">
        <v>90.15928531214158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120680000000</v>
      </c>
      <c r="C5" s="18">
        <v>122878000000</v>
      </c>
      <c r="D5" s="18">
        <v>126503000000</v>
      </c>
      <c r="E5" s="18">
        <v>112332000000</v>
      </c>
      <c r="F5" s="8" t="s">
        <v>84</v>
      </c>
    </row>
    <row r="6" spans="1:6" x14ac:dyDescent="0.25">
      <c r="A6" t="s">
        <v>44</v>
      </c>
      <c r="B6" s="18">
        <v>20979000000</v>
      </c>
      <c r="C6" s="18">
        <v>19152000000</v>
      </c>
      <c r="D6" s="18">
        <v>22959000000</v>
      </c>
      <c r="E6" s="18">
        <v>19029000000</v>
      </c>
      <c r="F6" s="8" t="s">
        <v>85</v>
      </c>
    </row>
    <row r="7" spans="1:6" x14ac:dyDescent="0.25">
      <c r="A7" t="s">
        <v>86</v>
      </c>
      <c r="B7" s="18">
        <v>7415000000</v>
      </c>
      <c r="C7" s="18">
        <v>7981000000</v>
      </c>
      <c r="D7" s="18">
        <v>7459000000</v>
      </c>
      <c r="E7" s="18">
        <v>6648000000</v>
      </c>
      <c r="F7" s="8" t="s">
        <v>87</v>
      </c>
    </row>
    <row r="8" spans="1:6" x14ac:dyDescent="0.25">
      <c r="A8" t="s">
        <v>88</v>
      </c>
      <c r="B8" s="18">
        <v>3807000000</v>
      </c>
      <c r="C8" s="18">
        <v>4841000000</v>
      </c>
      <c r="D8" s="18">
        <v>5354000000</v>
      </c>
      <c r="E8" s="18">
        <v>4530000000</v>
      </c>
      <c r="F8" s="8" t="s">
        <v>89</v>
      </c>
    </row>
    <row r="9" spans="1:6" x14ac:dyDescent="0.25">
      <c r="A9" t="s">
        <v>90</v>
      </c>
      <c r="B9" s="18">
        <v>1092000000</v>
      </c>
      <c r="C9" s="18">
        <v>-1256000000</v>
      </c>
      <c r="D9" s="18">
        <v>2406000000</v>
      </c>
      <c r="E9" s="18">
        <v>9576000000</v>
      </c>
      <c r="F9" s="8" t="s">
        <v>91</v>
      </c>
    </row>
    <row r="10" spans="1:6" x14ac:dyDescent="0.25">
      <c r="A10" t="s">
        <v>92</v>
      </c>
      <c r="B10" s="18">
        <v>37123000000</v>
      </c>
      <c r="C10" s="18">
        <v>42756000000</v>
      </c>
      <c r="D10" s="18">
        <v>45081000000</v>
      </c>
      <c r="E10" s="18">
        <v>52057000000</v>
      </c>
      <c r="F10" s="8" t="s">
        <v>93</v>
      </c>
    </row>
    <row r="11" spans="1:6" x14ac:dyDescent="0.25">
      <c r="A11" t="s">
        <v>94</v>
      </c>
      <c r="B11" s="18">
        <v>4958000000</v>
      </c>
      <c r="C11" s="18">
        <v>4528000000</v>
      </c>
      <c r="D11" s="18">
        <v>4363000000</v>
      </c>
      <c r="E11" s="18">
        <v>10489000000</v>
      </c>
      <c r="F11" s="8" t="s">
        <v>95</v>
      </c>
    </row>
    <row r="12" spans="1:6" x14ac:dyDescent="0.25">
      <c r="A12" t="s">
        <v>32</v>
      </c>
      <c r="B12" s="34">
        <v>1255397000</v>
      </c>
      <c r="C12" s="34">
        <v>1255986000</v>
      </c>
      <c r="D12" s="34">
        <v>1255916000</v>
      </c>
      <c r="E12" s="34">
        <v>1255325000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2026-09-19T01:04:21Z</dcterms:modified>
</cp:coreProperties>
</file>