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<sst xmlns="http://schemas.openxmlformats.org/spreadsheetml/2006/main" count="112" uniqueCount="100">
  <si>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SAP SE (SAP.DE)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</si>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</sst>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0.07625552156258508</v>
      </c>
    </row>
    <row r="7" spans="1:2" x14ac:dyDescent="0.25">
      <c r="A7" t="s">
        <v>5</v>
      </c>
      <c r="B7" s="6">
        <v>0.22189431376707824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0.04255673245291879</v>
      </c>
    </row>
    <row r="10" spans="1:2" x14ac:dyDescent="0.25">
      <c r="A10" t="s">
        <v>8</v>
      </c>
      <c r="B10" s="6">
        <v>0.024566567949978337</v>
      </c>
    </row>
    <row r="11" spans="1:2" x14ac:dyDescent="0.25">
      <c r="A11" t="s">
        <v>9</v>
      </c>
      <c r="B11" s="6">
        <v>0.015995260663507108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19.125594751074924</v>
      </c>
    </row>
    <row r="14" spans="1:3" x14ac:dyDescent="0.25">
      <c r="A14" t="s">
        <v>12</v>
      </c>
      <c r="B14" s="6">
        <v>0.0920837830932558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0.8492500000000001</v>
      </c>
      <c r="C19" s="8" t="s">
        <v>19</v>
      </c>
    </row>
    <row r="20" spans="1:2" x14ac:dyDescent="0.25">
      <c r="A20" t="s">
        <v>20</v>
      </c>
      <c r="B20" s="10">
        <f>B17+B19*B18</f>
        <v>0.076955</v>
      </c>
    </row>
    <row r="21" spans="1:3" x14ac:dyDescent="0.25">
      <c r="A21" t="s">
        <v>21</v>
      </c>
      <c r="B21" s="6">
        <v>0.05428366525073095</v>
      </c>
      <c r="C21" s="8" t="s">
        <v>22</v>
      </c>
    </row>
    <row r="22" spans="1:2" x14ac:dyDescent="0.25">
      <c r="A22" t="s">
        <v>23</v>
      </c>
      <c r="B22" s="11">
        <v>211357876224</v>
      </c>
    </row>
    <row r="23" spans="1:2" x14ac:dyDescent="0.25">
      <c r="A23" t="s">
        <v>24</v>
      </c>
      <c r="B23" s="11">
        <v>7476000000</v>
      </c>
    </row>
    <row r="24" spans="1:2" x14ac:dyDescent="0.25">
      <c r="A24" t="s">
        <v>25</v>
      </c>
      <c r="B24" s="10">
        <f>B22/(B22+B23)</f>
        <v>0.9658370992233967</v>
      </c>
    </row>
    <row r="25" spans="1:2" x14ac:dyDescent="0.25">
      <c r="A25" t="s">
        <v>26</v>
      </c>
      <c r="B25" s="10">
        <f>1-B24</f>
        <v>0.03416290077660333</v>
      </c>
    </row>
    <row r="26" spans="1:2" x14ac:dyDescent="0.25">
      <c r="A26" t="s">
        <v>27</v>
      </c>
      <c r="B26" s="12">
        <f>B24*B20+B25*B21*(1-B8)</f>
        <v>0.07562413519956224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36800000000</v>
      </c>
      <c r="C29" s="8" t="s">
        <v>30</v>
      </c>
    </row>
    <row r="30" spans="1:2" x14ac:dyDescent="0.25">
      <c r="A30" t="s">
        <v>31</v>
      </c>
      <c r="B30" s="11">
        <v>-2296000000</v>
      </c>
    </row>
    <row r="31" spans="1:2" x14ac:dyDescent="0.25">
      <c r="A31" t="s">
        <v>32</v>
      </c>
      <c r="B31" s="13">
        <v>1175000000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0.07625552156258508</v>
      </c>
      <c r="C5" s="10">
        <f>Assumptions!B6</f>
        <v>0.07625552156258508</v>
      </c>
      <c r="D5" s="10">
        <f>Assumptions!B6</f>
        <v>0.07625552156258508</v>
      </c>
      <c r="E5" s="10">
        <f>Assumptions!B6</f>
        <v>0.07625552156258508</v>
      </c>
      <c r="F5" s="10">
        <f>Assumptions!B6</f>
        <v>0.07625552156258508</v>
      </c>
    </row>
    <row r="6" spans="1:6" x14ac:dyDescent="0.25">
      <c r="A6" t="s">
        <v>43</v>
      </c>
      <c r="B6" s="18">
        <f>Assumptions!B29*(1+B5)</f>
        <v>39606203193.50313</v>
      </c>
      <c r="C6" s="18">
        <f>B6*(1+C5)</f>
        <v>42626394875.13743</v>
      </c>
      <c r="D6" s="18">
        <f>C6*(1+D5)</f>
        <v>45876892848.67374</v>
      </c>
      <c r="E6" s="18">
        <f>D6*(1+E5)</f>
        <v>49375259240.52018</v>
      </c>
      <c r="F6" s="18">
        <f>E6*(1+F5)</f>
        <v>53140395386.19389</v>
      </c>
    </row>
    <row r="7" spans="1:6" x14ac:dyDescent="0.25">
      <c r="A7" t="s">
        <v>5</v>
      </c>
      <c r="B7" s="10">
        <f>Assumptions!B7</f>
        <v>0.22189431376707824</v>
      </c>
      <c r="C7" s="10">
        <f>Assumptions!B7</f>
        <v>0.22189431376707824</v>
      </c>
      <c r="D7" s="10">
        <f>Assumptions!B7</f>
        <v>0.22189431376707824</v>
      </c>
      <c r="E7" s="10">
        <f>Assumptions!B7</f>
        <v>0.22189431376707824</v>
      </c>
      <c r="F7" s="10">
        <f>Assumptions!B7</f>
        <v>0.22189431376707824</v>
      </c>
    </row>
    <row r="8" spans="1:6" x14ac:dyDescent="0.25">
      <c r="A8" t="s">
        <v>44</v>
      </c>
      <c r="B8" s="18">
        <f>B6*B7</f>
        <v>8788391278.54184</v>
      </c>
      <c r="C8" s="18">
        <f>C6*C7</f>
        <v>9458554639.18312</v>
      </c>
      <c r="D8" s="18">
        <f>D6*D7</f>
        <v>10179821656.422237</v>
      </c>
      <c r="E8" s="18">
        <f>E6*E7</f>
        <v>10956089266.246815</v>
      </c>
      <c r="F8" s="18">
        <f>F6*F7</f>
        <v>11791551567.530704</v>
      </c>
    </row>
    <row r="9" spans="1:6" x14ac:dyDescent="0.25">
      <c r="A9" t="s">
        <v>45</v>
      </c>
      <c r="B9" s="18">
        <f>B8*(1-Assumptions!B8)</f>
        <v>6151873894.979287</v>
      </c>
      <c r="C9" s="18">
        <f>C8*(1-Assumptions!B8)</f>
        <v>6620988247.4281845</v>
      </c>
      <c r="D9" s="18">
        <f>D8*(1-Assumptions!B8)</f>
        <v>7125875159.495565</v>
      </c>
      <c r="E9" s="18">
        <f>E8*(1-Assumptions!B8)</f>
        <v>7669262486.372769</v>
      </c>
      <c r="F9" s="18">
        <f>F8*(1-Assumptions!B8)</f>
        <v>8254086097.271493</v>
      </c>
    </row>
    <row r="10" spans="1:6" x14ac:dyDescent="0.25">
      <c r="A10" t="s">
        <v>46</v>
      </c>
      <c r="B10" s="18">
        <f>B6*Assumptions!B9</f>
        <v>1685510592.7818506</v>
      </c>
      <c r="C10" s="18">
        <f>C6*Assumptions!B9</f>
        <v>1814040082.1336923</v>
      </c>
      <c r="D10" s="18">
        <f>D6*Assumptions!B9</f>
        <v>1952370654.7322316</v>
      </c>
      <c r="E10" s="18">
        <f>E6*Assumptions!B9</f>
        <v>2101249697.2923236</v>
      </c>
      <c r="F10" s="18">
        <f>F6*Assumptions!B9</f>
        <v>2261481588.892574</v>
      </c>
    </row>
    <row r="11" spans="1:6" x14ac:dyDescent="0.25">
      <c r="A11" t="s">
        <v>47</v>
      </c>
      <c r="B11" s="18">
        <f>-B6*Assumptions!B10</f>
        <v>-972988481.9938436</v>
      </c>
      <c r="C11" s="18">
        <f>-C6*Assumptions!B10</f>
        <v>-1047184226.1626719</v>
      </c>
      <c r="D11" s="18">
        <f>-D6*Assumptions!B10</f>
        <v>-1127037805.5008185</v>
      </c>
      <c r="E11" s="18">
        <f>-E6*Assumptions!B10</f>
        <v>-1212980661.1800346</v>
      </c>
      <c r="F11" s="18">
        <f>-F6*Assumptions!B10</f>
        <v>-1305477134.1436477</v>
      </c>
    </row>
    <row r="12" spans="1:6" x14ac:dyDescent="0.25">
      <c r="A12" t="s">
        <v>48</v>
      </c>
      <c r="B12" s="18">
        <f>-(B6-Assumptions!B29)*Assumptions!B11</f>
        <v>-44885951.55484861</v>
      </c>
      <c r="C12" s="18">
        <f>-(C6-B6)*Assumptions!B11</f>
        <v>-48308753.201496504</v>
      </c>
      <c r="D12" s="18">
        <f>-(D6-C6)*Assumptions!B11</f>
        <v>-51992562.37291488</v>
      </c>
      <c r="E12" s="18">
        <f>-(E6-D6)*Assumptions!B11</f>
        <v>-55957282.33403671</v>
      </c>
      <c r="F12" s="18">
        <f>-(F6-E6)*Assumptions!B11</f>
        <v>-60224334.08364352</v>
      </c>
    </row>
    <row r="13" spans="1:6" x14ac:dyDescent="0.25">
      <c r="A13" s="19" t="s">
        <v>49</v>
      </c>
      <c r="B13" s="20">
        <f>B9+B10+B11+B12</f>
        <v>6819510054.212445</v>
      </c>
      <c r="C13" s="20">
        <f>C9+C10+C11+C12</f>
        <v>7339535350.197708</v>
      </c>
      <c r="D13" s="20">
        <f>D9+D10+D11+D12</f>
        <v>7899215446.354063</v>
      </c>
      <c r="E13" s="20">
        <f>E9+E10+E11+E12</f>
        <v>8501574240.151021</v>
      </c>
      <c r="F13" s="20">
        <f>F9+F10+F11+F12</f>
        <v>9149866217.936775</v>
      </c>
    </row>
    <row r="14" spans="1:6" x14ac:dyDescent="0.25">
      <c r="A14" t="s">
        <v>50</v>
      </c>
      <c r="B14" s="21">
        <f>1/(1+Assumptions!$B$26)^(1-0.5*Assumptions!$B$32)</f>
        <v>0.9642057804136677</v>
      </c>
      <c r="C14" s="21">
        <f>1/(1+Assumptions!$B$26)^(2-0.5*Assumptions!$B$32)</f>
        <v>0.8964151592180267</v>
      </c>
      <c r="D14" s="21">
        <f>1/(1+Assumptions!$B$26)^(3-0.5*Assumptions!$B$32)</f>
        <v>0.8333907076673335</v>
      </c>
      <c r="E14" s="21">
        <f>1/(1+Assumptions!$B$26)^(4-0.5*Assumptions!$B$32)</f>
        <v>0.7747973296570864</v>
      </c>
      <c r="F14" s="21">
        <f>1/(1+Assumptions!$B$26)^(5-0.5*Assumptions!$B$32)</f>
        <v>0.7203234887559835</v>
      </c>
    </row>
    <row r="15" spans="1:6" x14ac:dyDescent="0.25">
      <c r="A15" s="19" t="s">
        <v>51</v>
      </c>
      <c r="B15" s="20">
        <f>B13*B14</f>
        <v>6575411013.860764</v>
      </c>
      <c r="C15" s="20">
        <f>C13*C14</f>
        <v>6579270749.533814</v>
      </c>
      <c r="D15" s="20">
        <f>D13*D14</f>
        <v>6583132750.8537445</v>
      </c>
      <c r="E15" s="20">
        <f>E13*E14</f>
        <v>6586997019.150484</v>
      </c>
      <c r="F15" s="20">
        <f>F13*F14</f>
        <v>6590863555.754734</v>
      </c>
    </row>
    <row r="17" spans="1:2" x14ac:dyDescent="0.25">
      <c r="A17" s="22" t="s">
        <v>52</v>
      </c>
      <c r="B17" s="23">
        <f>SUM(B15:F15)</f>
        <v>32915675089.153538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9149866217.936775</v>
      </c>
    </row>
    <row r="5" spans="1:2" x14ac:dyDescent="0.25">
      <c r="A5" t="s">
        <v>56</v>
      </c>
      <c r="B5" s="18">
        <f>IF(Assumptions!$B$33=0,B4,B4-Forecast!F11-Forecast!F10-Forecast!F12)</f>
        <v>8254086097.271493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0.27149188662982937</v>
      </c>
    </row>
    <row r="7" spans="1:2" x14ac:dyDescent="0.25">
      <c r="A7" t="s">
        <v>58</v>
      </c>
      <c r="B7" s="18">
        <f>-MAX(Forecast!F9,0)*B6</f>
        <v>-2240917406.953283</v>
      </c>
    </row>
    <row r="8" spans="1:2" x14ac:dyDescent="0.25">
      <c r="A8" t="s">
        <v>59</v>
      </c>
      <c r="B8" s="18">
        <f>IF(OR(Assumptions!$B$33=0,Assumptions!B12&lt;=0),B5,MAX(B5+B7,0))</f>
        <v>6013168690.318211</v>
      </c>
    </row>
    <row r="9" spans="1:2" x14ac:dyDescent="0.25">
      <c r="A9" t="s">
        <v>60</v>
      </c>
      <c r="B9" s="18">
        <f>B8*(1+Assumptions!B12)/(Assumptions!B26-Assumptions!B12)</f>
        <v>121750186611.17717</v>
      </c>
    </row>
    <row r="10" spans="1:2" x14ac:dyDescent="0.25">
      <c r="A10" t="s">
        <v>61</v>
      </c>
      <c r="B10" s="18">
        <f>B9/(1+Assumptions!B26)^(5-0.5*Assumptions!B32)</f>
        <v>87699519176.45517</v>
      </c>
    </row>
    <row r="11" spans="1:2" x14ac:dyDescent="0.25">
      <c r="A11" t="s">
        <v>62</v>
      </c>
      <c r="B11" s="18">
        <f>Forecast!B17+B10</f>
        <v>120615194265.6087</v>
      </c>
    </row>
    <row r="12" spans="1:2" x14ac:dyDescent="0.25">
      <c r="A12" t="s">
        <v>63</v>
      </c>
      <c r="B12" s="18">
        <f>-Assumptions!B30</f>
        <v>2296000000</v>
      </c>
    </row>
    <row r="13" spans="1:2" x14ac:dyDescent="0.25">
      <c r="A13" t="s">
        <v>64</v>
      </c>
      <c r="B13" s="18">
        <f>B11+B12</f>
        <v>122911194265.6087</v>
      </c>
    </row>
    <row r="14" spans="1:2" x14ac:dyDescent="0.25">
      <c r="A14" s="19" t="s">
        <v>65</v>
      </c>
      <c r="B14" s="24">
        <f>B13/Assumptions!B31</f>
        <v>104.60527171541166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14053033156.423279</v>
      </c>
    </row>
    <row r="18" spans="1:2" x14ac:dyDescent="0.25">
      <c r="A18" t="s">
        <v>60</v>
      </c>
      <c r="B18" s="18">
        <f>B17*Assumptions!B13</f>
        <v>268772617173.17093</v>
      </c>
    </row>
    <row r="19" spans="1:2" x14ac:dyDescent="0.25">
      <c r="A19" t="s">
        <v>61</v>
      </c>
      <c r="B19" s="18">
        <f>B18/(1+Assumptions!B26)^(5-0.5*Assumptions!B32)</f>
        <v>193603229284.25485</v>
      </c>
    </row>
    <row r="20" spans="1:2" x14ac:dyDescent="0.25">
      <c r="A20" t="s">
        <v>62</v>
      </c>
      <c r="B20" s="18">
        <f>Forecast!B17+B19</f>
        <v>226518904373.4084</v>
      </c>
    </row>
    <row r="21" spans="1:2" x14ac:dyDescent="0.25">
      <c r="A21" t="s">
        <v>63</v>
      </c>
      <c r="B21" s="18">
        <f>-Assumptions!B30</f>
        <v>2296000000</v>
      </c>
    </row>
    <row r="22" spans="1:2" x14ac:dyDescent="0.25">
      <c r="A22" t="s">
        <v>64</v>
      </c>
      <c r="B22" s="18">
        <f>B20+B21</f>
        <v>228814904373.4084</v>
      </c>
    </row>
    <row r="23" spans="1:2" x14ac:dyDescent="0.25">
      <c r="A23" s="19" t="s">
        <v>65</v>
      </c>
      <c r="B23" s="25">
        <f>B22/Assumptions!B31</f>
        <v>194.73608882843266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183.12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104.60527171541166</v>
      </c>
    </row>
    <row r="29" spans="1:2" x14ac:dyDescent="0.25">
      <c r="A29" s="19" t="s">
        <v>73</v>
      </c>
      <c r="B29" s="12">
        <f>B28/B26-1</f>
        <v>-0.4287610762592199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0.055624</v>
      </c>
      <c r="B5" s="31">
        <v>146.48443590341031</v>
      </c>
      <c r="C5" s="31">
        <v>154.73445164051748</v>
      </c>
      <c r="D5" s="31">
        <v>165.58081227693972</v>
      </c>
      <c r="E5" s="31">
        <v>180.54338877309397</v>
      </c>
      <c r="F5" s="31">
        <v>202.61593781517013</v>
      </c>
    </row>
    <row r="6" spans="1:6" x14ac:dyDescent="0.25">
      <c r="A6" s="30">
        <v>0.065624</v>
      </c>
      <c r="B6" s="31">
        <v>119.2053023661618</v>
      </c>
      <c r="C6" s="31">
        <v>122.99001852324858</v>
      </c>
      <c r="D6" s="31">
        <v>127.63584299629862</v>
      </c>
      <c r="E6" s="31">
        <v>133.5053578855659</v>
      </c>
      <c r="F6" s="31">
        <v>141.19794133379014</v>
      </c>
    </row>
    <row r="7" spans="1:6" x14ac:dyDescent="0.25">
      <c r="A7" s="30">
        <v>0.075624</v>
      </c>
      <c r="B7" s="31">
        <v>100.88601122897906</v>
      </c>
      <c r="C7" s="31">
        <v>102.60329215231435</v>
      </c>
      <c r="D7" s="32">
        <v>104.60552207190348</v>
      </c>
      <c r="E7" s="31">
        <v>106.9863849028746</v>
      </c>
      <c r="F7" s="31">
        <v>109.88568700774077</v>
      </c>
    </row>
    <row r="8" spans="1:6" x14ac:dyDescent="0.25">
      <c r="A8" s="30">
        <v>0.085624</v>
      </c>
      <c r="B8" s="31">
        <v>87.7226614631389</v>
      </c>
      <c r="C8" s="31">
        <v>88.38499867753133</v>
      </c>
      <c r="D8" s="31">
        <v>89.1131165617684</v>
      </c>
      <c r="E8" s="31">
        <v>89.92475404235071</v>
      </c>
      <c r="F8" s="31">
        <v>90.84465815517387</v>
      </c>
    </row>
    <row r="9" spans="1:6" x14ac:dyDescent="0.25">
      <c r="A9" s="30">
        <v>0.095624</v>
      </c>
      <c r="B9" s="31">
        <v>78.15206450517663</v>
      </c>
      <c r="C9" s="31">
        <v>78.3955972194318</v>
      </c>
      <c r="D9" s="31">
        <v>78.63912993368696</v>
      </c>
      <c r="E9" s="31">
        <v>78.88266264794213</v>
      </c>
      <c r="F9" s="31">
        <v>79.1261953621973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36800000000</v>
      </c>
      <c r="C5" s="18">
        <v>34176000000</v>
      </c>
      <c r="D5" s="18">
        <v>31207000000</v>
      </c>
      <c r="E5" s="18">
        <v>29519000000</v>
      </c>
      <c r="F5" s="8" t="s">
        <v>84</v>
      </c>
    </row>
    <row r="6" spans="1:6" x14ac:dyDescent="0.25">
      <c r="A6" t="s">
        <v>44</v>
      </c>
      <c r="B6" s="18">
        <v>9620000000</v>
      </c>
      <c r="C6" s="18">
        <v>7808000000</v>
      </c>
      <c r="D6" s="18">
        <v>6014000000</v>
      </c>
      <c r="E6" s="18">
        <v>6051000000</v>
      </c>
      <c r="F6" s="8" t="s">
        <v>85</v>
      </c>
    </row>
    <row r="7" spans="1:6" x14ac:dyDescent="0.25">
      <c r="A7" t="s">
        <v>86</v>
      </c>
      <c r="B7" s="18">
        <v>1311000000</v>
      </c>
      <c r="C7" s="18">
        <v>1280000000</v>
      </c>
      <c r="D7" s="18">
        <v>1373000000</v>
      </c>
      <c r="E7" s="18">
        <v>1569000000</v>
      </c>
      <c r="F7" s="8" t="s">
        <v>87</v>
      </c>
    </row>
    <row r="8" spans="1:6" x14ac:dyDescent="0.25">
      <c r="A8" t="s">
        <v>88</v>
      </c>
      <c r="B8" s="18">
        <v>739000000</v>
      </c>
      <c r="C8" s="18">
        <v>797000000</v>
      </c>
      <c r="D8" s="18">
        <v>785000000</v>
      </c>
      <c r="E8" s="18">
        <v>877000000</v>
      </c>
      <c r="F8" s="8" t="s">
        <v>89</v>
      </c>
    </row>
    <row r="9" spans="1:6" x14ac:dyDescent="0.25">
      <c r="A9" t="s">
        <v>90</v>
      </c>
      <c r="B9" s="18">
        <v>664000000</v>
      </c>
      <c r="C9" s="18">
        <v>-623000000</v>
      </c>
      <c r="D9" s="18">
        <v>27000000</v>
      </c>
      <c r="E9" s="18">
        <v>143000000</v>
      </c>
      <c r="F9" s="8" t="s">
        <v>91</v>
      </c>
    </row>
    <row r="10" spans="1:6" x14ac:dyDescent="0.25">
      <c r="A10" t="s">
        <v>92</v>
      </c>
      <c r="B10" s="18">
        <v>7476000000</v>
      </c>
      <c r="C10" s="18">
        <v>10651000000</v>
      </c>
      <c r="D10" s="18">
        <v>8791000000</v>
      </c>
      <c r="E10" s="18">
        <v>13085000000</v>
      </c>
      <c r="F10" s="8" t="s">
        <v>93</v>
      </c>
    </row>
    <row r="11" spans="1:6" x14ac:dyDescent="0.25">
      <c r="A11" t="s">
        <v>94</v>
      </c>
      <c r="B11" s="18">
        <v>9772000000</v>
      </c>
      <c r="C11" s="18">
        <v>11238000000</v>
      </c>
      <c r="D11" s="18">
        <v>11468000000</v>
      </c>
      <c r="E11" s="18">
        <v>9861000000</v>
      </c>
      <c r="F11" s="8" t="s">
        <v>95</v>
      </c>
    </row>
    <row r="12" spans="1:6" x14ac:dyDescent="0.25">
      <c r="A12" t="s">
        <v>32</v>
      </c>
      <c r="B12" s="34">
        <v>1175000000</v>
      </c>
      <c r="C12" s="34">
        <v>1180000000</v>
      </c>
      <c r="D12" s="34">
        <v>1180000000</v>
      </c>
      <c r="E12" s="34">
        <v>1175000000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