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<sst xmlns="http://schemas.openxmlformats.org/spreadsheetml/2006/main" count="113" uniqueCount="101">
  <si>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Saputo Inc. (SAP.TO)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</si>
  <si>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</si>
  <si>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</si>
  <si>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</si>
  <si>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</si>
  <si>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</si>
  <si>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</si>
  <si>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</si>
  <si>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</si>
  <si>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</si>
  <si>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</si>
  <si>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</si>
  <si>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</si>
  <si>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</si>
  <si>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</si>
  <si>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</si>
  <si>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</si>
  <si>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</si>
  <si>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</si>
  <si>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</si>
  <si>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</si>
  <si>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</si>
  <si>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</si>
  <si>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</si>
  <si>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</si>
  <si>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</si>
  <si>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</si>
  <si>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</si>
  <si>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</si>
  <si>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</si>
  <si>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2026-03-31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</si>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</sst>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-0.005485017426205441</v>
      </c>
    </row>
    <row r="7" spans="1:2" x14ac:dyDescent="0.25">
      <c r="A7" t="s">
        <v>5</v>
      </c>
      <c r="B7" s="6">
        <v>0.053642003533852727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0.03374139996683627</v>
      </c>
    </row>
    <row r="10" spans="1:2" x14ac:dyDescent="0.25">
      <c r="A10" t="s">
        <v>8</v>
      </c>
      <c r="B10" s="6">
        <v>0.028655571980019785</v>
      </c>
    </row>
    <row r="11" spans="1:2" x14ac:dyDescent="0.25">
      <c r="A11" t="s">
        <v>9</v>
      </c>
      <c r="B11" s="6">
        <v>0.08723404255319149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11.369256922513728</v>
      </c>
    </row>
    <row r="14" spans="1:3" x14ac:dyDescent="0.25">
      <c r="A14" t="s">
        <v>12</v>
      </c>
      <c r="B14" s="6">
        <v>0.06684309623421268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0.41844</v>
      </c>
      <c r="C19" s="8" t="s">
        <v>19</v>
      </c>
    </row>
    <row r="20" spans="1:2" x14ac:dyDescent="0.25">
      <c r="A20" t="s">
        <v>20</v>
      </c>
      <c r="B20" s="10">
        <f>B17+B19*B18</f>
        <v>0.0560142</v>
      </c>
    </row>
    <row r="21" spans="1:3" x14ac:dyDescent="0.25">
      <c r="A21" t="s">
        <v>21</v>
      </c>
      <c r="B21" s="6">
        <v>0.033</v>
      </c>
      <c r="C21" s="8" t="s">
        <v>22</v>
      </c>
    </row>
    <row r="22" spans="1:2" x14ac:dyDescent="0.25">
      <c r="A22" t="s">
        <v>23</v>
      </c>
      <c r="B22" s="11">
        <v>15806212096</v>
      </c>
    </row>
    <row r="23" spans="1:2" x14ac:dyDescent="0.25">
      <c r="A23" t="s">
        <v>24</v>
      </c>
      <c r="B23" s="11">
        <v>3272000000</v>
      </c>
    </row>
    <row r="24" spans="1:2" x14ac:dyDescent="0.25">
      <c r="A24" t="s">
        <v>25</v>
      </c>
      <c r="B24" s="10">
        <f>B22/(B22+B23)</f>
        <v>0.8284954594520931</v>
      </c>
    </row>
    <row r="25" spans="1:2" x14ac:dyDescent="0.25">
      <c r="A25" t="s">
        <v>26</v>
      </c>
      <c r="B25" s="10">
        <f>1-B24</f>
        <v>0.17150454054790687</v>
      </c>
    </row>
    <row r="26" spans="1:2" x14ac:dyDescent="0.25">
      <c r="A26" t="s">
        <v>27</v>
      </c>
      <c r="B26" s="12">
        <f>B24*B20+B25*B21*(1-B8)</f>
        <v>0.050567352995830914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17551000000</v>
      </c>
      <c r="C29" s="8" t="s">
        <v>30</v>
      </c>
    </row>
    <row r="30" spans="1:2" x14ac:dyDescent="0.25">
      <c r="A30" t="s">
        <v>31</v>
      </c>
      <c r="B30" s="11">
        <v>2828000000</v>
      </c>
    </row>
    <row r="31" spans="1:2" x14ac:dyDescent="0.25">
      <c r="A31" t="s">
        <v>32</v>
      </c>
      <c r="B31" s="13">
        <v>412860693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-0.005485017426205441</v>
      </c>
      <c r="C5" s="10">
        <f>Assumptions!B6</f>
        <v>-0.005485017426205441</v>
      </c>
      <c r="D5" s="10">
        <f>Assumptions!B6</f>
        <v>-0.005485017426205441</v>
      </c>
      <c r="E5" s="10">
        <f>Assumptions!B6</f>
        <v>-0.005485017426205441</v>
      </c>
      <c r="F5" s="10">
        <f>Assumptions!B6</f>
        <v>-0.005485017426205441</v>
      </c>
    </row>
    <row r="6" spans="1:6" x14ac:dyDescent="0.25">
      <c r="A6" t="s">
        <v>43</v>
      </c>
      <c r="B6" s="18">
        <f>Assumptions!B29*(1+B5)</f>
        <v>17454732459.152668</v>
      </c>
      <c r="C6" s="18">
        <f>B6*(1+C5)</f>
        <v>17358992947.44446</v>
      </c>
      <c r="D6" s="18">
        <f>C6*(1+D5)</f>
        <v>17263778568.62635</v>
      </c>
      <c r="E6" s="18">
        <f>D6*(1+E5)</f>
        <v>17169086442.335283</v>
      </c>
      <c r="F6" s="18">
        <f>E6*(1+F5)</f>
        <v>17074913704.007046</v>
      </c>
    </row>
    <row r="7" spans="1:6" x14ac:dyDescent="0.25">
      <c r="A7" t="s">
        <v>5</v>
      </c>
      <c r="B7" s="10">
        <f>Assumptions!B7</f>
        <v>0.053642003533852727</v>
      </c>
      <c r="C7" s="10">
        <f>Assumptions!B7</f>
        <v>0.053642003533852727</v>
      </c>
      <c r="D7" s="10">
        <f>Assumptions!B7</f>
        <v>0.053642003533852727</v>
      </c>
      <c r="E7" s="10">
        <f>Assumptions!B7</f>
        <v>0.053642003533852727</v>
      </c>
      <c r="F7" s="10">
        <f>Assumptions!B7</f>
        <v>0.053642003533852727</v>
      </c>
    </row>
    <row r="8" spans="1:6" x14ac:dyDescent="0.25">
      <c r="A8" t="s">
        <v>44</v>
      </c>
      <c r="B8" s="18">
        <f>B6*B7</f>
        <v>936306820.2563213</v>
      </c>
      <c r="C8" s="18">
        <f>C6*C7</f>
        <v>931171161.0309404</v>
      </c>
      <c r="D8" s="18">
        <f>D6*D7</f>
        <v>926063670.9859056</v>
      </c>
      <c r="E8" s="18">
        <f>E6*E7</f>
        <v>920984195.6127722</v>
      </c>
      <c r="F8" s="18">
        <f>F6*F7</f>
        <v>915932581.2505763</v>
      </c>
    </row>
    <row r="9" spans="1:6" x14ac:dyDescent="0.25">
      <c r="A9" t="s">
        <v>45</v>
      </c>
      <c r="B9" s="18">
        <f>B8*(1-Assumptions!B8)</f>
        <v>688185512.8883961</v>
      </c>
      <c r="C9" s="18">
        <f>C8*(1-Assumptions!B8)</f>
        <v>684410803.3577412</v>
      </c>
      <c r="D9" s="18">
        <f>D8*(1-Assumptions!B8)</f>
        <v>680656798.1746407</v>
      </c>
      <c r="E9" s="18">
        <f>E8*(1-Assumptions!B8)</f>
        <v>676923383.7753875</v>
      </c>
      <c r="F9" s="18">
        <f>F8*(1-Assumptions!B8)</f>
        <v>673210447.2191736</v>
      </c>
    </row>
    <row r="10" spans="1:6" x14ac:dyDescent="0.25">
      <c r="A10" t="s">
        <v>46</v>
      </c>
      <c r="B10" s="18">
        <f>B6*Assumptions!B9</f>
        <v>588947109.2183897</v>
      </c>
      <c r="C10" s="18">
        <f>C6*Assumptions!B9</f>
        <v>585716724.0612136</v>
      </c>
      <c r="D10" s="18">
        <f>D6*Assumptions!B9</f>
        <v>582504057.6229179</v>
      </c>
      <c r="E10" s="18">
        <f>E6*Assumptions!B9</f>
        <v>579309012.7160208</v>
      </c>
      <c r="F10" s="18">
        <f>F6*Assumptions!B9</f>
        <v>576131492.6861155</v>
      </c>
    </row>
    <row r="11" spans="1:6" x14ac:dyDescent="0.25">
      <c r="A11" t="s">
        <v>47</v>
      </c>
      <c r="B11" s="18">
        <f>-B6*Assumptions!B10</f>
        <v>-500175342.37523705</v>
      </c>
      <c r="C11" s="18">
        <f>-C6*Assumptions!B10</f>
        <v>-497431871.9061506</v>
      </c>
      <c r="D11" s="18">
        <f>-D6*Assumptions!B10</f>
        <v>-494703449.4203953</v>
      </c>
      <c r="E11" s="18">
        <f>-E6*Assumptions!B10</f>
        <v>-491989992.37952054</v>
      </c>
      <c r="F11" s="18">
        <f>-F6*Assumptions!B10</f>
        <v>-489291418.69780016</v>
      </c>
    </row>
    <row r="12" spans="1:6" x14ac:dyDescent="0.25">
      <c r="A12" t="s">
        <v>48</v>
      </c>
      <c r="B12" s="18">
        <f>-(B6-Assumptions!B29)*Assumptions!B11</f>
        <v>8397806.75476726</v>
      </c>
      <c r="C12" s="18">
        <f>-(C6-B6)*Assumptions!B11</f>
        <v>8351744.638375432</v>
      </c>
      <c r="D12" s="18">
        <f>-(D6-C6)*Assumptions!B11</f>
        <v>8305935.173494826</v>
      </c>
      <c r="E12" s="18">
        <f>-(E6-D6)*Assumptions!B11</f>
        <v>8260376.974327132</v>
      </c>
      <c r="F12" s="18">
        <f>-(F6-E6)*Assumptions!B11</f>
        <v>8215068.66267604</v>
      </c>
    </row>
    <row r="13" spans="1:6" x14ac:dyDescent="0.25">
      <c r="A13" s="19" t="s">
        <v>49</v>
      </c>
      <c r="B13" s="20">
        <f>B9+B10+B11+B12</f>
        <v>785355086.4863161</v>
      </c>
      <c r="C13" s="20">
        <f>C9+C10+C11+C12</f>
        <v>781047400.1511797</v>
      </c>
      <c r="D13" s="20">
        <f>D9+D10+D11+D12</f>
        <v>776763341.550658</v>
      </c>
      <c r="E13" s="20">
        <f>E9+E10+E11+E12</f>
        <v>772502781.0862149</v>
      </c>
      <c r="F13" s="20">
        <f>F9+F10+F11+F12</f>
        <v>768265589.8701651</v>
      </c>
    </row>
    <row r="14" spans="1:6" x14ac:dyDescent="0.25">
      <c r="A14" t="s">
        <v>50</v>
      </c>
      <c r="B14" s="21">
        <f>1/(1+Assumptions!$B$26)^(1-0.5*Assumptions!$B$32)</f>
        <v>0.9756365226861192</v>
      </c>
      <c r="C14" s="21">
        <f>1/(1+Assumptions!$B$26)^(2-0.5*Assumptions!$B$32)</f>
        <v>0.9286758434896759</v>
      </c>
      <c r="D14" s="21">
        <f>1/(1+Assumptions!$B$26)^(3-0.5*Assumptions!$B$32)</f>
        <v>0.88397554030347</v>
      </c>
      <c r="E14" s="21">
        <f>1/(1+Assumptions!$B$26)^(4-0.5*Assumptions!$B$32)</f>
        <v>0.8414268136000016</v>
      </c>
      <c r="F14" s="21">
        <f>1/(1+Assumptions!$B$26)^(5-0.5*Assumptions!$B$32)</f>
        <v>0.800926100740293</v>
      </c>
    </row>
    <row r="15" spans="1:6" x14ac:dyDescent="0.25">
      <c r="A15" s="19" t="s">
        <v>51</v>
      </c>
      <c r="B15" s="20">
        <f>B13*B14</f>
        <v>766221105.6533659</v>
      </c>
      <c r="C15" s="20">
        <f>C13*C14</f>
        <v>725339853.1408153</v>
      </c>
      <c r="D15" s="20">
        <f>D13*D14</f>
        <v>686639794.5351717</v>
      </c>
      <c r="E15" s="20">
        <f>E13*E14</f>
        <v>650004553.5865134</v>
      </c>
      <c r="F15" s="20">
        <f>F13*F14</f>
        <v>615323963.2276525</v>
      </c>
    </row>
    <row r="17" spans="1:2" x14ac:dyDescent="0.25">
      <c r="A17" s="22" t="s">
        <v>52</v>
      </c>
      <c r="B17" s="23">
        <f>SUM(B15:F15)</f>
        <v>3443529270.143519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768265589.8701651</v>
      </c>
    </row>
    <row r="5" spans="1:2" x14ac:dyDescent="0.25">
      <c r="A5" t="s">
        <v>56</v>
      </c>
      <c r="B5" s="18">
        <f>IF(Assumptions!$B$33=0,B4,B4-Forecast!F11-Forecast!F10-Forecast!F12)</f>
        <v>762263148.1329914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0.37401020312407535</v>
      </c>
    </row>
    <row r="7" spans="1:2" x14ac:dyDescent="0.25">
      <c r="A7" t="s">
        <v>58</v>
      </c>
      <c r="B7" s="18">
        <f>-MAX(Forecast!F9,0)*B6</f>
        <v>-285094194.86721724</v>
      </c>
    </row>
    <row r="8" spans="1:2" x14ac:dyDescent="0.25">
      <c r="A8" t="s">
        <v>59</v>
      </c>
      <c r="B8" s="18">
        <f>IF(OR(Assumptions!$B$33=0,Assumptions!B12&lt;=0),B5,MAX(B5+B7,0))</f>
        <v>477168953.2657742</v>
      </c>
    </row>
    <row r="9" spans="1:2" x14ac:dyDescent="0.25">
      <c r="A9" t="s">
        <v>60</v>
      </c>
      <c r="B9" s="18">
        <f>B8*(1+Assumptions!B12)/(Assumptions!B26-Assumptions!B12)</f>
        <v>19129793263.196712</v>
      </c>
    </row>
    <row r="10" spans="1:2" x14ac:dyDescent="0.25">
      <c r="A10" t="s">
        <v>61</v>
      </c>
      <c r="B10" s="18">
        <f>B9/(1+Assumptions!B26)^(5-0.5*Assumptions!B32)</f>
        <v>15321550726.260069</v>
      </c>
    </row>
    <row r="11" spans="1:2" x14ac:dyDescent="0.25">
      <c r="A11" t="s">
        <v>62</v>
      </c>
      <c r="B11" s="18">
        <f>Forecast!B17+B10</f>
        <v>18765079996.403587</v>
      </c>
    </row>
    <row r="12" spans="1:2" x14ac:dyDescent="0.25">
      <c r="A12" t="s">
        <v>63</v>
      </c>
      <c r="B12" s="18">
        <f>-Assumptions!B30</f>
        <v>-2828000000</v>
      </c>
    </row>
    <row r="13" spans="1:2" x14ac:dyDescent="0.25">
      <c r="A13" t="s">
        <v>64</v>
      </c>
      <c r="B13" s="18">
        <f>B11+B12</f>
        <v>15937079996.403587</v>
      </c>
    </row>
    <row r="14" spans="1:2" x14ac:dyDescent="0.25">
      <c r="A14" s="19" t="s">
        <v>65</v>
      </c>
      <c r="B14" s="24">
        <f>B13/Assumptions!B31</f>
        <v>38.60159193310172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1492064073.9366918</v>
      </c>
    </row>
    <row r="18" spans="1:2" x14ac:dyDescent="0.25">
      <c r="A18" t="s">
        <v>60</v>
      </c>
      <c r="B18" s="18">
        <f>B17*Assumptions!B13</f>
        <v>16963659801.438766</v>
      </c>
    </row>
    <row r="19" spans="1:2" x14ac:dyDescent="0.25">
      <c r="A19" t="s">
        <v>61</v>
      </c>
      <c r="B19" s="18">
        <f>B18/(1+Assumptions!B26)^(5-0.5*Assumptions!B32)</f>
        <v>13586637899.051205</v>
      </c>
    </row>
    <row r="20" spans="1:2" x14ac:dyDescent="0.25">
      <c r="A20" t="s">
        <v>62</v>
      </c>
      <c r="B20" s="18">
        <f>Forecast!B17+B19</f>
        <v>17030167169.194723</v>
      </c>
    </row>
    <row r="21" spans="1:2" x14ac:dyDescent="0.25">
      <c r="A21" t="s">
        <v>63</v>
      </c>
      <c r="B21" s="18">
        <f>-Assumptions!B30</f>
        <v>-2828000000</v>
      </c>
    </row>
    <row r="22" spans="1:2" x14ac:dyDescent="0.25">
      <c r="A22" t="s">
        <v>64</v>
      </c>
      <c r="B22" s="18">
        <f>B20+B21</f>
        <v>14202167169.194723</v>
      </c>
    </row>
    <row r="23" spans="1:2" x14ac:dyDescent="0.25">
      <c r="A23" s="19" t="s">
        <v>65</v>
      </c>
      <c r="B23" s="25">
        <f>B22/Assumptions!B31</f>
        <v>34.39941706728357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38.60159193310172</v>
      </c>
    </row>
    <row r="29" spans="1:2" x14ac:dyDescent="0.25">
      <c r="A29" s="19" t="s">
        <v>73</v>
      </c>
      <c r="B29" s="12">
        <f>B28/B26-1</f>
        <v>-0.030597892187299802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0.030567</v>
      </c>
      <c r="B5" s="31">
        <v>83.42311472924804</v>
      </c>
      <c r="C5" s="31">
        <v>110.95390447303424</v>
      </c>
      <c r="D5" s="31">
        <v>187.72159550135177</v>
      </c>
      <c r="E5" s="31">
        <v>1616.2897138599985</v>
      </c>
      <c r="F5" s="31" t="s">
        <v>76</v>
      </c>
    </row>
    <row r="6" spans="1:6" x14ac:dyDescent="0.25">
      <c r="A6" s="30">
        <v>0.040567</v>
      </c>
      <c r="B6" s="31">
        <v>49.21883208167296</v>
      </c>
      <c r="C6" s="31">
        <v>55.33885078431091</v>
      </c>
      <c r="D6" s="31">
        <v>65.31609349095525</v>
      </c>
      <c r="E6" s="31">
        <v>84.6259420564462</v>
      </c>
      <c r="F6" s="31">
        <v>138.4146310564438</v>
      </c>
    </row>
    <row r="7" spans="1:6" x14ac:dyDescent="0.25">
      <c r="A7" s="30">
        <v>0.050567</v>
      </c>
      <c r="B7" s="31">
        <v>34.22102069704123</v>
      </c>
      <c r="C7" s="31">
        <v>36.07136428873984</v>
      </c>
      <c r="D7" s="32">
        <v>38.602167121722694</v>
      </c>
      <c r="E7" s="31">
        <v>42.309704229746</v>
      </c>
      <c r="F7" s="31">
        <v>48.32784945655658</v>
      </c>
    </row>
    <row r="8" spans="1:6" x14ac:dyDescent="0.25">
      <c r="A8" s="30">
        <v>0.060567</v>
      </c>
      <c r="B8" s="31">
        <v>25.785899426566843</v>
      </c>
      <c r="C8" s="31">
        <v>26.273574884326294</v>
      </c>
      <c r="D8" s="31">
        <v>26.86856288322746</v>
      </c>
      <c r="E8" s="31">
        <v>27.623524401355418</v>
      </c>
      <c r="F8" s="31">
        <v>28.632314908198232</v>
      </c>
    </row>
    <row r="9" spans="1:6" x14ac:dyDescent="0.25">
      <c r="A9" s="30">
        <v>0.070567</v>
      </c>
      <c r="B9" s="31">
        <v>20.665113892516818</v>
      </c>
      <c r="C9" s="31">
        <v>20.761365369290058</v>
      </c>
      <c r="D9" s="31">
        <v>20.857616846063287</v>
      </c>
      <c r="E9" s="31">
        <v>20.953868322836524</v>
      </c>
      <c r="F9" s="31">
        <v>21.050119799609757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17551000000</v>
      </c>
      <c r="C5" s="18">
        <v>17812000000</v>
      </c>
      <c r="D5" s="18">
        <v>17342000000</v>
      </c>
      <c r="E5" s="18">
        <v>17843000000</v>
      </c>
      <c r="F5" s="8" t="s">
        <v>85</v>
      </c>
    </row>
    <row r="6" spans="1:6" x14ac:dyDescent="0.25">
      <c r="A6" t="s">
        <v>44</v>
      </c>
      <c r="B6" s="18">
        <v>1041000000</v>
      </c>
      <c r="C6" s="18">
        <v>905000000</v>
      </c>
      <c r="D6" s="18">
        <v>853000000</v>
      </c>
      <c r="E6" s="18">
        <v>986000000</v>
      </c>
      <c r="F6" s="8" t="s">
        <v>86</v>
      </c>
    </row>
    <row r="7" spans="1:6" x14ac:dyDescent="0.25">
      <c r="A7" t="s">
        <v>87</v>
      </c>
      <c r="B7" s="18">
        <v>598000000</v>
      </c>
      <c r="C7" s="18">
        <v>605000000</v>
      </c>
      <c r="D7" s="18">
        <v>595000000</v>
      </c>
      <c r="E7" s="18">
        <v>582000000</v>
      </c>
      <c r="F7" s="8" t="s">
        <v>88</v>
      </c>
    </row>
    <row r="8" spans="1:6" x14ac:dyDescent="0.25">
      <c r="A8" t="s">
        <v>89</v>
      </c>
      <c r="B8" s="18">
        <v>339000000</v>
      </c>
      <c r="C8" s="18">
        <v>386000000</v>
      </c>
      <c r="D8" s="18">
        <v>654000000</v>
      </c>
      <c r="E8" s="18">
        <v>641000000</v>
      </c>
      <c r="F8" s="8" t="s">
        <v>90</v>
      </c>
    </row>
    <row r="9" spans="1:6" x14ac:dyDescent="0.25">
      <c r="A9" t="s">
        <v>91</v>
      </c>
      <c r="B9" s="18">
        <v>-141000000</v>
      </c>
      <c r="C9" s="18">
        <v>41000000</v>
      </c>
      <c r="D9" s="18">
        <v>2000000</v>
      </c>
      <c r="E9" s="18">
        <v>367000000</v>
      </c>
      <c r="F9" s="8" t="s">
        <v>92</v>
      </c>
    </row>
    <row r="10" spans="1:6" x14ac:dyDescent="0.25">
      <c r="A10" t="s">
        <v>93</v>
      </c>
      <c r="B10" s="18">
        <v>3272000000</v>
      </c>
      <c r="C10" s="18">
        <v>3594000000</v>
      </c>
      <c r="D10" s="18">
        <v>3986000000</v>
      </c>
      <c r="E10" s="18">
        <v>4040000000</v>
      </c>
      <c r="F10" s="8" t="s">
        <v>94</v>
      </c>
    </row>
    <row r="11" spans="1:6" x14ac:dyDescent="0.25">
      <c r="A11" t="s">
        <v>95</v>
      </c>
      <c r="B11" s="18">
        <v>444000000</v>
      </c>
      <c r="C11" s="18">
        <v>257000000</v>
      </c>
      <c r="D11" s="18">
        <v>466000000</v>
      </c>
      <c r="E11" s="18">
        <v>263000000</v>
      </c>
      <c r="F11" s="8" t="s">
        <v>96</v>
      </c>
    </row>
    <row r="12" spans="1:6" x14ac:dyDescent="0.25">
      <c r="A12" t="s">
        <v>32</v>
      </c>
      <c r="B12" s="34">
        <v>412860693</v>
      </c>
      <c r="C12" s="34">
        <v>423578443</v>
      </c>
      <c r="D12" s="34">
        <v>423284677</v>
      </c>
      <c r="E12" s="34">
        <v>419229038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2026-09-19T01:04:23Z</dcterms:modified>
</cp:coreProperties>
</file>