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<sst xmlns="http://schemas.openxmlformats.org/spreadsheetml/2006/main" count="112" uniqueCount="100">
  <si>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SBA Communications Corporation (SBAC)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</si>
  <si>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</si>
  <si>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</si>
  <si>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</si>
  <si>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</si>
  <si>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</si>
  <si>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</si>
  <si>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</si>
  <si>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</si>
  <si>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</si>
  <si>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</si>
  <si>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</si>
  <si>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</si>
  <si>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</si>
  <si>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</si>
  <si>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</si>
  <si>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</si>
  <si>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</si>
  <si>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</si>
  <si>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</si>
  <si>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</si>
  <si>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</si>
  <si>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</si>
  <si>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</si>
  <si>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</si>
  <si>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</si>
  <si>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</si>
  <si>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</si>
  <si>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</si>
  <si>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</si>
  <si>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</si>
  <si>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</si>
  <si>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</si>
  <si>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</si>
  <si>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</si>
  <si>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</si>
  <si>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</si>
  <si>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</si>
  <si>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</si>
  <si>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</si>
  <si>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</si>
  <si>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</si>
  <si>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</si>
  <si>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</si>
  <si>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</si>
  <si>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</si>
  <si>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</si>
  <si>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</si>
  <si>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</si>
  <si>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</si>
  <si>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</si>
  <si>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</si>
  <si>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</si>
  <si>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</si>
  <si>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</si>
  <si>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</si>
  <si>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</si>
  <si>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</si>
  <si>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</si>
  <si>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</si>
  <si>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</si>
  <si>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</si>
  <si>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</si>
  <si>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</si>
  <si>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</si>
  <si>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</si>
  <si>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</si>
  <si>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</si>
  <si>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</si>
  <si>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</si>
  <si>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</si>
  <si>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</si>
  <si>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</si>
  <si>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</si>
  <si>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</si>
  <si>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</si>
  <si>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</si>
  <si>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</si>
  <si>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</si>
  <si>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</si>
  <si>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</si>
  <si>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</si>
  <si>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</si>
  <si>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</si>
  <si>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</si>
  <si>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</si>
  <si>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</si>
  <si>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</si>
  <si>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</si>
  <si>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</si>
  <si>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</si>
  <si>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</si>
  <si>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</si>
  <si>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</si>
  <si>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</si>
  <si>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</si>
  <si>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</si>
  <si>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</si>
  <si>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8.34% of revenue against depreciation of 18.43%. A business cannot depreciate more than it invests indefinitely. Capex has been set to 18.43%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</si>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</sst>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0.02248756625700632</v>
      </c>
    </row>
    <row r="7" spans="1:2" x14ac:dyDescent="0.25">
      <c r="A7" t="s">
        <v>5</v>
      </c>
      <c r="B7" s="6">
        <v>0.481735887098235</v>
      </c>
    </row>
    <row r="8" spans="1:2" x14ac:dyDescent="0.25">
      <c r="A8" t="s">
        <v>6</v>
      </c>
      <c r="B8" s="6">
        <v>0.1093686041382004</v>
      </c>
    </row>
    <row r="9" spans="1:2" x14ac:dyDescent="0.25">
      <c r="A9" t="s">
        <v>7</v>
      </c>
      <c r="B9" s="6">
        <v>0.18431490209542223</v>
      </c>
    </row>
    <row r="10" spans="1:2" x14ac:dyDescent="0.25">
      <c r="A10" t="s">
        <v>8</v>
      </c>
      <c r="B10" s="6">
        <v>0.18431490209542223</v>
      </c>
    </row>
    <row r="11" spans="1:2" x14ac:dyDescent="0.25">
      <c r="A11" t="s">
        <v>9</v>
      </c>
      <c r="B11" s="6">
        <v>-0.8251631895558684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18.409509014619648</v>
      </c>
    </row>
    <row r="14" spans="1:3" x14ac:dyDescent="0.25">
      <c r="A14" t="s">
        <v>12</v>
      </c>
      <c r="B14" s="6">
        <v>0.1518030996646299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0.9892799999999999</v>
      </c>
      <c r="C19" s="8" t="s">
        <v>19</v>
      </c>
    </row>
    <row r="20" spans="1:2" x14ac:dyDescent="0.25">
      <c r="A20" t="s">
        <v>20</v>
      </c>
      <c r="B20" s="10">
        <f>B17+B19*B18</f>
        <v>0.1043904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18946275328</v>
      </c>
    </row>
    <row r="23" spans="1:2" x14ac:dyDescent="0.25">
      <c r="A23" t="s">
        <v>24</v>
      </c>
      <c r="B23" s="11">
        <v>15319130000</v>
      </c>
    </row>
    <row r="24" spans="1:2" x14ac:dyDescent="0.25">
      <c r="A24" t="s">
        <v>25</v>
      </c>
      <c r="B24" s="10">
        <f>B22/(B22+B23)</f>
        <v>0.5529272205199347</v>
      </c>
    </row>
    <row r="25" spans="1:2" x14ac:dyDescent="0.25">
      <c r="A25" t="s">
        <v>26</v>
      </c>
      <c r="B25" s="10">
        <f>1-B24</f>
        <v>0.4470727794800653</v>
      </c>
    </row>
    <row r="26" spans="1:2" x14ac:dyDescent="0.25">
      <c r="A26" t="s">
        <v>27</v>
      </c>
      <c r="B26" s="12">
        <f>B24*B20+B25*B21*(1-B8)</f>
        <v>0.07762118286189865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2815139000</v>
      </c>
      <c r="C29" s="8" t="s">
        <v>30</v>
      </c>
    </row>
    <row r="30" spans="1:2" x14ac:dyDescent="0.25">
      <c r="A30" t="s">
        <v>31</v>
      </c>
      <c r="B30" s="11">
        <v>15047914000</v>
      </c>
    </row>
    <row r="31" spans="1:2" x14ac:dyDescent="0.25">
      <c r="A31" t="s">
        <v>32</v>
      </c>
      <c r="B31" s="13">
        <v>107533000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0.02248756625700632</v>
      </c>
      <c r="C5" s="10">
        <f>Assumptions!B6</f>
        <v>0.02248756625700632</v>
      </c>
      <c r="D5" s="10">
        <f>Assumptions!B6</f>
        <v>0.02248756625700632</v>
      </c>
      <c r="E5" s="10">
        <f>Assumptions!B6</f>
        <v>0.02248756625700632</v>
      </c>
      <c r="F5" s="10">
        <f>Assumptions!B6</f>
        <v>0.02248756625700632</v>
      </c>
    </row>
    <row r="6" spans="1:6" x14ac:dyDescent="0.25">
      <c r="A6" t="s">
        <v>43</v>
      </c>
      <c r="B6" s="18">
        <f>Assumptions!B29*(1+B5)</f>
        <v>2878444624.7851825</v>
      </c>
      <c r="C6" s="18">
        <f>B6*(1+C5)</f>
        <v>2943173839.002163</v>
      </c>
      <c r="D6" s="18">
        <f>C6*(1+D5)</f>
        <v>3009358655.7126117</v>
      </c>
      <c r="E6" s="18">
        <f>D6*(1+E5)</f>
        <v>3077031807.8740444</v>
      </c>
      <c r="F6" s="18">
        <f>E6*(1+F5)</f>
        <v>3146226764.5285277</v>
      </c>
    </row>
    <row r="7" spans="1:6" x14ac:dyDescent="0.25">
      <c r="A7" t="s">
        <v>5</v>
      </c>
      <c r="B7" s="10">
        <f>Assumptions!B7</f>
        <v>0.481735887098235</v>
      </c>
      <c r="C7" s="10">
        <f>Assumptions!B7</f>
        <v>0.481735887098235</v>
      </c>
      <c r="D7" s="10">
        <f>Assumptions!B7</f>
        <v>0.481735887098235</v>
      </c>
      <c r="E7" s="10">
        <f>Assumptions!B7</f>
        <v>0.481735887098235</v>
      </c>
      <c r="F7" s="10">
        <f>Assumptions!B7</f>
        <v>0.481735887098235</v>
      </c>
    </row>
    <row r="8" spans="1:6" x14ac:dyDescent="0.25">
      <c r="A8" t="s">
        <v>44</v>
      </c>
      <c r="B8" s="18">
        <f>B6*B7</f>
        <v>1386650074.7840362</v>
      </c>
      <c r="C8" s="18">
        <f>C6*C7</f>
        <v>1417832460.2160249</v>
      </c>
      <c r="D8" s="18">
        <f>D6*D7</f>
        <v>1449716061.606467</v>
      </c>
      <c r="E8" s="18">
        <f>E6*E7</f>
        <v>1482316647.5956886</v>
      </c>
      <c r="F8" s="18">
        <f>F6*F7</f>
        <v>1515650341.42236</v>
      </c>
    </row>
    <row r="9" spans="1:6" x14ac:dyDescent="0.25">
      <c r="A9" t="s">
        <v>45</v>
      </c>
      <c r="B9" s="18">
        <f>B8*(1-Assumptions!B8)</f>
        <v>1234994091.676775</v>
      </c>
      <c r="C9" s="18">
        <f>C8*(1-Assumptions!B8)</f>
        <v>1262766103.1403677</v>
      </c>
      <c r="D9" s="18">
        <f>D8*(1-Assumptions!B8)</f>
        <v>1291162639.5518384</v>
      </c>
      <c r="E9" s="18">
        <f>E8*(1-Assumptions!B8)</f>
        <v>1320197744.9573314</v>
      </c>
      <c r="F9" s="18">
        <f>F8*(1-Assumptions!B8)</f>
        <v>1349885779.2194097</v>
      </c>
    </row>
    <row r="10" spans="1:6" x14ac:dyDescent="0.25">
      <c r="A10" t="s">
        <v>46</v>
      </c>
      <c r="B10" s="18">
        <f>B6*Assumptions!B9</f>
        <v>530540239.20437527</v>
      </c>
      <c r="C10" s="18">
        <f>C6*Assumptions!B9</f>
        <v>542470797.9854916</v>
      </c>
      <c r="D10" s="18">
        <f>D6*Assumptions!B9</f>
        <v>554669645.9976815</v>
      </c>
      <c r="E10" s="18">
        <f>E6*Assumptions!B9</f>
        <v>567142816.4128046</v>
      </c>
      <c r="F10" s="18">
        <f>F6*Assumptions!B9</f>
        <v>579896478.0740726</v>
      </c>
    </row>
    <row r="11" spans="1:6" x14ac:dyDescent="0.25">
      <c r="A11" t="s">
        <v>47</v>
      </c>
      <c r="B11" s="18">
        <f>-B6*Assumptions!B10</f>
        <v>-530540239.20437527</v>
      </c>
      <c r="C11" s="18">
        <f>-C6*Assumptions!B10</f>
        <v>-542470797.9854916</v>
      </c>
      <c r="D11" s="18">
        <f>-D6*Assumptions!B10</f>
        <v>-554669645.9976815</v>
      </c>
      <c r="E11" s="18">
        <f>-E6*Assumptions!B10</f>
        <v>-567142816.4128046</v>
      </c>
      <c r="F11" s="18">
        <f>-F6*Assumptions!B10</f>
        <v>-579896478.0740726</v>
      </c>
    </row>
    <row r="12" spans="1:6" x14ac:dyDescent="0.25">
      <c r="A12" t="s">
        <v>48</v>
      </c>
      <c r="B12" s="18">
        <f>-(B6-Assumptions!B29)*Assumptions!B11</f>
        <v>52237471.26456821</v>
      </c>
      <c r="C12" s="18">
        <f>-(C6-B6)*Assumptions!B11</f>
        <v>53412164.86072866</v>
      </c>
      <c r="D12" s="18">
        <f>-(D6-C6)*Assumptions!B11</f>
        <v>54613274.456964426</v>
      </c>
      <c r="E12" s="18">
        <f>-(E6-D6)*Assumptions!B11</f>
        <v>55841394.08482745</v>
      </c>
      <c r="F12" s="18">
        <f>-(F6-E6)*Assumptions!B11</f>
        <v>57097131.13419352</v>
      </c>
    </row>
    <row r="13" spans="1:6" x14ac:dyDescent="0.25">
      <c r="A13" s="19" t="s">
        <v>49</v>
      </c>
      <c r="B13" s="20">
        <f>B9+B10+B11+B12</f>
        <v>1287231562.9413433</v>
      </c>
      <c r="C13" s="20">
        <f>C9+C10+C11+C12</f>
        <v>1316178268.0010962</v>
      </c>
      <c r="D13" s="20">
        <f>D9+D10+D11+D12</f>
        <v>1345775914.008803</v>
      </c>
      <c r="E13" s="20">
        <f>E9+E10+E11+E12</f>
        <v>1376039139.0421588</v>
      </c>
      <c r="F13" s="20">
        <f>F9+F10+F11+F12</f>
        <v>1406982910.3536031</v>
      </c>
    </row>
    <row r="14" spans="1:6" x14ac:dyDescent="0.25">
      <c r="A14" t="s">
        <v>50</v>
      </c>
      <c r="B14" s="21">
        <f>1/(1+Assumptions!$B$26)^(1-0.5*Assumptions!$B$32)</f>
        <v>0.963311932987377</v>
      </c>
      <c r="C14" s="21">
        <f>1/(1+Assumptions!$B$26)^(2-0.5*Assumptions!$B$32)</f>
        <v>0.8939244590840874</v>
      </c>
      <c r="D14" s="21">
        <f>1/(1+Assumptions!$B$26)^(3-0.5*Assumptions!$B$32)</f>
        <v>0.8295349732361814</v>
      </c>
      <c r="E14" s="21">
        <f>1/(1+Assumptions!$B$26)^(4-0.5*Assumptions!$B$32)</f>
        <v>0.7697834697654505</v>
      </c>
      <c r="F14" s="21">
        <f>1/(1+Assumptions!$B$26)^(5-0.5*Assumptions!$B$32)</f>
        <v>0.7143358742458028</v>
      </c>
    </row>
    <row r="15" spans="1:6" x14ac:dyDescent="0.25">
      <c r="A15" s="19" t="s">
        <v>51</v>
      </c>
      <c r="B15" s="20">
        <f>B13*B14</f>
        <v>1240005525.099388</v>
      </c>
      <c r="C15" s="20">
        <f>C13*C14</f>
        <v>1176563946.281111</v>
      </c>
      <c r="D15" s="20">
        <f>D13*D14</f>
        <v>1116368186.8091898</v>
      </c>
      <c r="E15" s="20">
        <f>E13*E14</f>
        <v>1059252182.9849362</v>
      </c>
      <c r="F15" s="20">
        <f>F13*F14</f>
        <v>1005058367.3163451</v>
      </c>
    </row>
    <row r="17" spans="1:2" x14ac:dyDescent="0.25">
      <c r="A17" s="22" t="s">
        <v>52</v>
      </c>
      <c r="B17" s="23">
        <f>SUM(B15:F15)</f>
        <v>5597248208.490971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1406982910.3536031</v>
      </c>
    </row>
    <row r="5" spans="1:2" x14ac:dyDescent="0.25">
      <c r="A5" t="s">
        <v>56</v>
      </c>
      <c r="B5" s="18">
        <f>IF(Assumptions!$B$33=0,B4,B4-Forecast!F11-Forecast!F10-Forecast!F12)</f>
        <v>1349885779.2194097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0.16468701927187984</v>
      </c>
    </row>
    <row r="7" spans="1:2" x14ac:dyDescent="0.25">
      <c r="A7" t="s">
        <v>58</v>
      </c>
      <c r="B7" s="18">
        <f>-MAX(Forecast!F9,0)*B6</f>
        <v>-222308665.33714345</v>
      </c>
    </row>
    <row r="8" spans="1:2" x14ac:dyDescent="0.25">
      <c r="A8" t="s">
        <v>59</v>
      </c>
      <c r="B8" s="18">
        <f>IF(OR(Assumptions!$B$33=0,Assumptions!B12&lt;=0),B5,MAX(B5+B7,0))</f>
        <v>1127577113.8822663</v>
      </c>
    </row>
    <row r="9" spans="1:2" x14ac:dyDescent="0.25">
      <c r="A9" t="s">
        <v>60</v>
      </c>
      <c r="B9" s="18">
        <f>B8*(1+Assumptions!B12)/(Assumptions!B26-Assumptions!B12)</f>
        <v>21963902726.44702</v>
      </c>
    </row>
    <row r="10" spans="1:2" x14ac:dyDescent="0.25">
      <c r="A10" t="s">
        <v>61</v>
      </c>
      <c r="B10" s="18">
        <f>B9/(1+Assumptions!B26)^(5-0.5*Assumptions!B32)</f>
        <v>15689603655.946304</v>
      </c>
    </row>
    <row r="11" spans="1:2" x14ac:dyDescent="0.25">
      <c r="A11" t="s">
        <v>62</v>
      </c>
      <c r="B11" s="18">
        <f>Forecast!B17+B10</f>
        <v>21286851864.437275</v>
      </c>
    </row>
    <row r="12" spans="1:2" x14ac:dyDescent="0.25">
      <c r="A12" t="s">
        <v>63</v>
      </c>
      <c r="B12" s="18">
        <f>-Assumptions!B30</f>
        <v>-15047914000</v>
      </c>
    </row>
    <row r="13" spans="1:2" x14ac:dyDescent="0.25">
      <c r="A13" t="s">
        <v>64</v>
      </c>
      <c r="B13" s="18">
        <f>B11+B12</f>
        <v>6238937864.437275</v>
      </c>
    </row>
    <row r="14" spans="1:2" x14ac:dyDescent="0.25">
      <c r="A14" s="19" t="s">
        <v>65</v>
      </c>
      <c r="B14" s="24">
        <f>B13/Assumptions!B31</f>
        <v>58.01882086835925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2095546819.4964325</v>
      </c>
    </row>
    <row r="18" spans="1:2" x14ac:dyDescent="0.25">
      <c r="A18" t="s">
        <v>60</v>
      </c>
      <c r="B18" s="18">
        <f>B17*Assumptions!B13</f>
        <v>38577988064.0771</v>
      </c>
    </row>
    <row r="19" spans="1:2" x14ac:dyDescent="0.25">
      <c r="A19" t="s">
        <v>61</v>
      </c>
      <c r="B19" s="18">
        <f>B18/(1+Assumptions!B26)^(5-0.5*Assumptions!B32)</f>
        <v>27557640830.396664</v>
      </c>
    </row>
    <row r="20" spans="1:2" x14ac:dyDescent="0.25">
      <c r="A20" t="s">
        <v>62</v>
      </c>
      <c r="B20" s="18">
        <f>Forecast!B17+B19</f>
        <v>33154889038.887634</v>
      </c>
    </row>
    <row r="21" spans="1:2" x14ac:dyDescent="0.25">
      <c r="A21" t="s">
        <v>63</v>
      </c>
      <c r="B21" s="18">
        <f>-Assumptions!B30</f>
        <v>-15047914000</v>
      </c>
    </row>
    <row r="22" spans="1:2" x14ac:dyDescent="0.25">
      <c r="A22" t="s">
        <v>64</v>
      </c>
      <c r="B22" s="18">
        <f>B20+B21</f>
        <v>18106975038.887634</v>
      </c>
    </row>
    <row r="23" spans="1:2" x14ac:dyDescent="0.25">
      <c r="A23" s="19" t="s">
        <v>65</v>
      </c>
      <c r="B23" s="25">
        <f>B22/Assumptions!B31</f>
        <v>168.38528673883957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178.59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58.01882086835925</v>
      </c>
    </row>
    <row r="29" spans="1:2" x14ac:dyDescent="0.25">
      <c r="A29" s="19" t="s">
        <v>73</v>
      </c>
      <c r="B29" s="12">
        <f>B28/B26-1</f>
        <v>-0.6751283897846506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0.057621</v>
      </c>
      <c r="B5" s="31">
        <v>123.8979498705945</v>
      </c>
      <c r="C5" s="31">
        <v>144.18127397429953</v>
      </c>
      <c r="D5" s="31">
        <v>170.58396540062103</v>
      </c>
      <c r="E5" s="31">
        <v>206.42923872684585</v>
      </c>
      <c r="F5" s="31">
        <v>257.9784762304401</v>
      </c>
    </row>
    <row r="6" spans="1:6" x14ac:dyDescent="0.25">
      <c r="A6" s="30">
        <v>0.067621</v>
      </c>
      <c r="B6" s="31">
        <v>75.8488680532372</v>
      </c>
      <c r="C6" s="31">
        <v>87.2039446514593</v>
      </c>
      <c r="D6" s="31">
        <v>101.15095118934158</v>
      </c>
      <c r="E6" s="31">
        <v>118.72332508468004</v>
      </c>
      <c r="F6" s="31">
        <v>141.5881062921617</v>
      </c>
    </row>
    <row r="7" spans="1:6" x14ac:dyDescent="0.25">
      <c r="A7" s="30">
        <v>0.077621</v>
      </c>
      <c r="B7" s="31">
        <v>43.09817559425151</v>
      </c>
      <c r="C7" s="31">
        <v>49.93705814043741</v>
      </c>
      <c r="D7" s="32">
        <v>58.01946046855766</v>
      </c>
      <c r="E7" s="31">
        <v>67.73707525052187</v>
      </c>
      <c r="F7" s="31">
        <v>79.66539782448883</v>
      </c>
    </row>
    <row r="8" spans="1:6" x14ac:dyDescent="0.25">
      <c r="A8" s="30">
        <v>0.087621</v>
      </c>
      <c r="B8" s="31">
        <v>19.3283388759095</v>
      </c>
      <c r="C8" s="31">
        <v>23.639241612980687</v>
      </c>
      <c r="D8" s="31">
        <v>28.59331051210699</v>
      </c>
      <c r="E8" s="31">
        <v>34.35797571908293</v>
      </c>
      <c r="F8" s="31">
        <v>41.16430362599054</v>
      </c>
    </row>
    <row r="9" spans="1:6" x14ac:dyDescent="0.25">
      <c r="A9" s="30">
        <v>0.097621</v>
      </c>
      <c r="B9" s="31">
        <v>1.2802504309900191</v>
      </c>
      <c r="C9" s="31">
        <v>4.073582684650602</v>
      </c>
      <c r="D9" s="31">
        <v>7.214119261351709</v>
      </c>
      <c r="E9" s="31">
        <v>10.778878614615182</v>
      </c>
      <c r="F9" s="31">
        <v>14.869477480814446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2815139000</v>
      </c>
      <c r="C5" s="18">
        <v>2679634000</v>
      </c>
      <c r="D5" s="18">
        <v>2711584000</v>
      </c>
      <c r="E5" s="18">
        <v>2633454000</v>
      </c>
      <c r="F5" s="8" t="s">
        <v>84</v>
      </c>
    </row>
    <row r="6" spans="1:6" x14ac:dyDescent="0.25">
      <c r="A6" t="s">
        <v>44</v>
      </c>
      <c r="B6" s="18">
        <v>1554271000</v>
      </c>
      <c r="C6" s="18">
        <v>1569634000</v>
      </c>
      <c r="D6" s="18">
        <v>1114717000</v>
      </c>
      <c r="E6" s="18">
        <v>995375000</v>
      </c>
      <c r="F6" s="8" t="s">
        <v>85</v>
      </c>
    </row>
    <row r="7" spans="1:6" x14ac:dyDescent="0.25">
      <c r="A7" t="s">
        <v>86</v>
      </c>
      <c r="B7" s="18">
        <v>292285000</v>
      </c>
      <c r="C7" s="18">
        <v>269517000</v>
      </c>
      <c r="D7" s="18">
        <v>716309000</v>
      </c>
      <c r="E7" s="18">
        <v>707576000</v>
      </c>
      <c r="F7" s="8" t="s">
        <v>87</v>
      </c>
    </row>
    <row r="8" spans="1:6" x14ac:dyDescent="0.25">
      <c r="A8" t="s">
        <v>88</v>
      </c>
      <c r="B8" s="18">
        <v>224819000</v>
      </c>
      <c r="C8" s="18">
        <v>228149000</v>
      </c>
      <c r="D8" s="18">
        <v>236698000</v>
      </c>
      <c r="E8" s="18">
        <v>214443000</v>
      </c>
      <c r="F8" s="8" t="s">
        <v>89</v>
      </c>
    </row>
    <row r="9" spans="1:6" x14ac:dyDescent="0.25">
      <c r="A9" t="s">
        <v>90</v>
      </c>
      <c r="B9" s="18">
        <v>179626000</v>
      </c>
      <c r="C9" s="18">
        <v>143056000</v>
      </c>
      <c r="D9" s="18">
        <v>-64470000</v>
      </c>
      <c r="E9" s="18">
        <v>113120000</v>
      </c>
      <c r="F9" s="8" t="s">
        <v>91</v>
      </c>
    </row>
    <row r="10" spans="1:6" x14ac:dyDescent="0.25">
      <c r="A10" t="s">
        <v>92</v>
      </c>
      <c r="B10" s="18">
        <v>15319130000</v>
      </c>
      <c r="C10" s="18">
        <v>15756194000</v>
      </c>
      <c r="D10" s="18">
        <v>14463465000</v>
      </c>
      <c r="E10" s="18">
        <v>15171155000</v>
      </c>
      <c r="F10" s="8" t="s">
        <v>93</v>
      </c>
    </row>
    <row r="11" spans="1:6" x14ac:dyDescent="0.25">
      <c r="A11" t="s">
        <v>94</v>
      </c>
      <c r="B11" s="18">
        <v>271216000</v>
      </c>
      <c r="C11" s="18">
        <v>444375000</v>
      </c>
      <c r="D11" s="18">
        <v>209593000</v>
      </c>
      <c r="E11" s="18">
        <v>145039000</v>
      </c>
      <c r="F11" s="8" t="s">
        <v>95</v>
      </c>
    </row>
    <row r="12" spans="1:6" x14ac:dyDescent="0.25">
      <c r="A12" t="s">
        <v>32</v>
      </c>
      <c r="B12" s="34">
        <v>107533000</v>
      </c>
      <c r="C12" s="34">
        <v>108080000</v>
      </c>
      <c r="D12" s="34">
        <v>108907000</v>
      </c>
      <c r="E12" s="34">
        <v>109386000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2026-09-19T00:06:38Z</dcterms:modified>
</cp:coreProperties>
</file>