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<sst xmlns="http://schemas.openxmlformats.org/spreadsheetml/2006/main" count="120" uniqueCount="107">
  <si>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SBA Communications Corporation (SBAC)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</si>
  <si>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</si>
  <si>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</si>
  <si>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</si>
  <si>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</si>
  <si>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</si>
  <si>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</si>
  <si>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</si>
  <si>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</si>
  <si>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</si>
  <si>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</si>
  <si>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</si>
  <si>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</si>
  <si>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</si>
  <si>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</si>
  <si>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</si>
  <si>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</si>
  <si>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</si>
  <si>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</si>
  <si>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</si>
  <si>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</si>
  <si>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</si>
  <si>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</si>
  <si>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</si>
  <si>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3.3x interest cover. Book interest / average debt was lower, at 3.1%.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</si>
  <si>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</si>
  <si>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</si>
  <si>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</si>
  <si>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</si>
  <si>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</si>
  <si>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</si>
  <si>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</si>
  <si>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</si>
  <si>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</si>
  <si>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</si>
  <si>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</si>
  <si>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</si>
  <si>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</si>
  <si>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</si>
  <si>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</si>
  <si>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</si>
  <si>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</si>
  <si>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</si>
  <si>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</si>
  <si>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</si>
  <si>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</si>
  <si>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</si>
  <si>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</si>
  <si>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</si>
  <si>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</si>
  <si>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</si>
  <si>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</si>
  <si>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</si>
  <si>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</si>
  <si>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</si>
  <si>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</si>
  <si>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</si>
  <si>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</si>
  <si>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</si>
  <si>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</si>
  <si>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</si>
  <si>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</si>
  <si>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</si>
  <si>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</si>
  <si>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</si>
  <si>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</si>
  <si>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</si>
  <si>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</si>
  <si>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</si>
  <si>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</si>
  <si>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</si>
  <si>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</si>
  <si>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</si>
  <si>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</si>
  <si>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</si>
  <si>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</si>
  <si>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</si>
  <si>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</si>
  <si>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</si>
  <si>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</si>
  <si>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</si>
  <si>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</si>
  <si>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</si>
  <si>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</si>
  <si>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</si>
  <si>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</si>
  <si>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</si>
  <si>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</si>
  <si>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</si>
  <si>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</si>
  <si>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</si>
  <si>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</si>
  <si>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</si>
  <si>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</si>
  <si>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</si>
  <si>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</si>
  <si>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</si>
  <si>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</si>
  <si>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</si>
  <si>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</si>
  <si>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</si>
  <si>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</si>
  <si>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</si>
  <si>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</si>
  <si>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</si>
  <si>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8.34% of revenue against depreciation of 18.43%. A business cannot depreciate more than it invests indefinitely. Capex has been set to 18.43% of revenue so the forecast is not handed free growth.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</si>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</sst>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0.01772193486715934</v>
      </c>
    </row>
    <row r="7" spans="1:2" x14ac:dyDescent="0.25">
      <c r="A7" t="s">
        <v>4</v>
      </c>
      <c r="B7" s="5">
        <v>0.481735887098235</v>
      </c>
    </row>
    <row r="8" spans="1:2" x14ac:dyDescent="0.25">
      <c r="A8" t="s">
        <v>5</v>
      </c>
      <c r="B8" s="5">
        <v>0.1093686041382004</v>
      </c>
    </row>
    <row r="9" spans="1:2" x14ac:dyDescent="0.25">
      <c r="A9" t="s">
        <v>6</v>
      </c>
      <c r="B9" s="5">
        <v>0.18431490209542223</v>
      </c>
    </row>
    <row r="10" spans="1:3" x14ac:dyDescent="0.25">
      <c r="A10" t="s">
        <v>7</v>
      </c>
      <c r="B10" s="5">
        <v>0.18431490209542223</v>
      </c>
      <c r="C10" s="6" t="s">
        <v>8</v>
      </c>
    </row>
    <row r="11" spans="1:2" x14ac:dyDescent="0.25">
      <c r="A11" t="s">
        <v>9</v>
      </c>
      <c r="B11" s="5">
        <v>0.042686125172850344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18.90129692681944</v>
      </c>
    </row>
    <row r="14" spans="1:3" x14ac:dyDescent="0.25">
      <c r="A14" t="s">
        <v>12</v>
      </c>
      <c r="B14" s="5">
        <v>0.1518030996646299</v>
      </c>
      <c r="C14" s="6" t="s">
        <v>13</v>
      </c>
    </row>
    <row r="15" spans="1:3" x14ac:dyDescent="0.25">
      <c r="A15" t="s">
        <v>14</v>
      </c>
      <c r="B15" s="5">
        <v>0.18431490209542223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0.99598</v>
      </c>
      <c r="C19" s="6" t="s">
        <v>21</v>
      </c>
    </row>
    <row r="20" spans="1:2" x14ac:dyDescent="0.25">
      <c r="A20" t="s">
        <v>22</v>
      </c>
      <c r="B20" s="9">
        <f>B17+B19*B18</f>
        <v>0.09106995400000001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19854389248</v>
      </c>
    </row>
    <row r="23" spans="1:2" x14ac:dyDescent="0.25">
      <c r="A23" t="s">
        <v>26</v>
      </c>
      <c r="B23" s="10">
        <v>15319130000</v>
      </c>
    </row>
    <row r="24" spans="1:2" x14ac:dyDescent="0.25">
      <c r="A24" t="s">
        <v>27</v>
      </c>
      <c r="B24" s="9">
        <f>B22/(B22+B23)</f>
        <v>0.5644697963832248</v>
      </c>
    </row>
    <row r="25" spans="1:2" x14ac:dyDescent="0.25">
      <c r="A25" t="s">
        <v>28</v>
      </c>
      <c r="B25" s="9">
        <f>1-B24</f>
        <v>0.4355302036167752</v>
      </c>
    </row>
    <row r="26" spans="1:2" x14ac:dyDescent="0.25">
      <c r="A26" t="s">
        <v>29</v>
      </c>
      <c r="B26" s="11">
        <f>B24*B20+B25*B21*(1-B8)</f>
        <v>0.07384219353615629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2815139000</v>
      </c>
      <c r="C29" s="6" t="s">
        <v>32</v>
      </c>
    </row>
    <row r="30" spans="1:2" x14ac:dyDescent="0.25">
      <c r="A30" t="s">
        <v>33</v>
      </c>
      <c r="B30" s="10">
        <v>15047914000</v>
      </c>
    </row>
    <row r="31" spans="1:2" x14ac:dyDescent="0.25">
      <c r="A31" t="s">
        <v>34</v>
      </c>
      <c r="B31" s="12">
        <v>107533000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0.01772193486715934</v>
      </c>
      <c r="C5" s="5">
        <v>0.024726883103380892</v>
      </c>
      <c r="D5" s="5">
        <v>0.02476102271545828</v>
      </c>
      <c r="E5" s="5">
        <v>0.024795162327535668</v>
      </c>
      <c r="F5" s="5">
        <v>0.02482930193961306</v>
      </c>
      <c r="G5" s="5">
        <v>0.024863441551690447</v>
      </c>
      <c r="H5" s="5">
        <v>0.024897581163767835</v>
      </c>
      <c r="I5" s="5">
        <v>0.024931720775845226</v>
      </c>
      <c r="J5" s="5">
        <v>0.024965860387922614</v>
      </c>
      <c r="K5" s="5">
        <v>0.025</v>
      </c>
    </row>
    <row r="6" spans="1:11" x14ac:dyDescent="0.25">
      <c r="A6" t="s">
        <v>50</v>
      </c>
      <c r="B6" s="18">
        <f>Assumptions!B29*(1+B5)</f>
        <v>2865028710</v>
      </c>
      <c r="C6" s="18">
        <f>B6*(1+C5)</f>
        <v>2935871940</v>
      </c>
      <c r="D6" s="18">
        <f>C6*(1+D5)</f>
        <v>3008567131.796016</v>
      </c>
      <c r="E6" s="18">
        <f>D6*(1+E5)</f>
        <v>3083165042.202187</v>
      </c>
      <c r="F6" s="18">
        <f>E6*(1+F5)</f>
        <v>3159717877.964685</v>
      </c>
      <c r="G6" s="18">
        <f>F6*(1+G5)</f>
        <v>3238279338.743291</v>
      </c>
      <c r="H6" s="18">
        <f>G6*(1+H5)</f>
        <v>3318904661.410605</v>
      </c>
      <c r="I6" s="18">
        <f>H6*(1+I5)</f>
        <v>3401650665.7105455</v>
      </c>
      <c r="J6" s="18">
        <f>I6*(1+J5)</f>
        <v>3486575801.319159</v>
      </c>
      <c r="K6" s="18">
        <f>J6*(1+K5)</f>
        <v>3573740196.3521376</v>
      </c>
    </row>
    <row r="7" spans="1:11" x14ac:dyDescent="0.25">
      <c r="A7" t="s">
        <v>4</v>
      </c>
      <c r="B7" s="9">
        <f>Assumptions!B7</f>
        <v>0.481735887098235</v>
      </c>
      <c r="C7" s="9">
        <f>Assumptions!B7</f>
        <v>0.481735887098235</v>
      </c>
      <c r="D7" s="9">
        <f>Assumptions!B7</f>
        <v>0.481735887098235</v>
      </c>
      <c r="E7" s="9">
        <f>Assumptions!B7</f>
        <v>0.481735887098235</v>
      </c>
      <c r="F7" s="9">
        <f>Assumptions!B7</f>
        <v>0.481735887098235</v>
      </c>
      <c r="G7" s="9">
        <f>Assumptions!B7</f>
        <v>0.481735887098235</v>
      </c>
      <c r="H7" s="9">
        <f>Assumptions!B7</f>
        <v>0.481735887098235</v>
      </c>
      <c r="I7" s="9">
        <f>Assumptions!B7</f>
        <v>0.481735887098235</v>
      </c>
      <c r="J7" s="9">
        <f>Assumptions!B7</f>
        <v>0.481735887098235</v>
      </c>
      <c r="K7" s="9">
        <f>Assumptions!B7</f>
        <v>0.481735887098235</v>
      </c>
    </row>
    <row r="8" spans="1:11" x14ac:dyDescent="0.25">
      <c r="A8" t="s">
        <v>51</v>
      </c>
      <c r="B8" s="18">
        <f>B6*B7</f>
        <v>1380187147.1737618</v>
      </c>
      <c r="C8" s="18">
        <f>C6*C7</f>
        <v>1414314873.4227161</v>
      </c>
      <c r="D8" s="18">
        <f>D6*D7</f>
        <v>1449334756.1303463</v>
      </c>
      <c r="E8" s="18">
        <f>E6*E7</f>
        <v>1485271246.6755378</v>
      </c>
      <c r="F8" s="18">
        <f>F6*F7</f>
        <v>1522149494.9214702</v>
      </c>
      <c r="G8" s="18">
        <f>G6*G7</f>
        <v>1559995369.921385</v>
      </c>
      <c r="H8" s="18">
        <f>H6*H7</f>
        <v>1598835481.259105</v>
      </c>
      <c r="I8" s="18">
        <f>I6*I7</f>
        <v>1638697201.0443714</v>
      </c>
      <c r="J8" s="18">
        <f>J6*J7</f>
        <v>1679608686.5837247</v>
      </c>
      <c r="K8" s="18">
        <f>K6*K7</f>
        <v>1721598903.7483175</v>
      </c>
    </row>
    <row r="9" spans="1:11" x14ac:dyDescent="0.25">
      <c r="A9" t="s">
        <v>52</v>
      </c>
      <c r="B9" s="18">
        <f>B8*(1-Assumptions!B8)</f>
        <v>1229238005.4378827</v>
      </c>
      <c r="C9" s="18">
        <f>C8*(1-Assumptions!B8)</f>
        <v>1259633229.9045782</v>
      </c>
      <c r="D9" s="18">
        <f>D8*(1-Assumptions!B8)</f>
        <v>1290823036.9233913</v>
      </c>
      <c r="E9" s="18">
        <f>E8*(1-Assumptions!B8)</f>
        <v>1322829203.6600296</v>
      </c>
      <c r="F9" s="18">
        <f>F8*(1-Assumptions!B8)</f>
        <v>1355674129.3722422</v>
      </c>
      <c r="G9" s="18">
        <f>G8*(1-Assumptions!B8)</f>
        <v>1389380853.8510277</v>
      </c>
      <c r="H9" s="18">
        <f>H8*(1-Assumptions!B8)</f>
        <v>1423973076.4271688</v>
      </c>
      <c r="I9" s="18">
        <f>I8*(1-Assumptions!B8)</f>
        <v>1459475175.5609725</v>
      </c>
      <c r="J9" s="18">
        <f>J8*(1-Assumptions!B8)</f>
        <v>1495912229.0336666</v>
      </c>
      <c r="K9" s="18">
        <f>K8*(1-Assumptions!B8)</f>
        <v>1533310034.7595081</v>
      </c>
    </row>
    <row r="10" spans="1:11" x14ac:dyDescent="0.25">
      <c r="A10" t="s">
        <v>53</v>
      </c>
      <c r="B10" s="18">
        <f>B6*Assumptions!B9</f>
        <v>528067486.18422383</v>
      </c>
      <c r="C10" s="18">
        <f>C6*Assumptions!B9</f>
        <v>541124949.1857973</v>
      </c>
      <c r="D10" s="18">
        <f>D6*Assumptions!B9</f>
        <v>554523756.344488</v>
      </c>
      <c r="E10" s="18">
        <f>E6*Assumptions!B9</f>
        <v>568273262.8975245</v>
      </c>
      <c r="F10" s="18">
        <f>F6*Assumptions!B9</f>
        <v>582383091.3262162</v>
      </c>
      <c r="G10" s="18">
        <f>G6*Assumptions!B9</f>
        <v>596863139.2780983</v>
      </c>
      <c r="H10" s="18">
        <f>H6*Assumptions!B9</f>
        <v>611723587.7319361</v>
      </c>
      <c r="I10" s="18">
        <f>I6*Assumptions!B9</f>
        <v>626974909.413267</v>
      </c>
      <c r="J10" s="18">
        <f>J6*Assumptions!B9</f>
        <v>642627877.4684091</v>
      </c>
      <c r="K10" s="18">
        <f>K6*Assumptions!B9</f>
        <v>658693574.4051193</v>
      </c>
    </row>
    <row r="11" spans="1:11" x14ac:dyDescent="0.25">
      <c r="A11" t="s">
        <v>54</v>
      </c>
      <c r="B11" s="18">
        <f>-B6*B19</f>
        <v>-528067486.18422383</v>
      </c>
      <c r="C11" s="18">
        <f>-C6*C19</f>
        <v>-564174420.520108</v>
      </c>
      <c r="D11" s="18">
        <f>-D6*D19</f>
        <v>-601764155.9796855</v>
      </c>
      <c r="E11" s="18">
        <f>-E6*E19</f>
        <v>-640890862.4163793</v>
      </c>
      <c r="F11" s="18">
        <f>-F6*F19</f>
        <v>-681610616.4241341</v>
      </c>
      <c r="G11" s="18">
        <f>-G6*G19</f>
        <v>-723981467.8637345</v>
      </c>
      <c r="H11" s="18">
        <f>-H6*H19</f>
        <v>-768063508.7187356</v>
      </c>
      <c r="I11" s="18">
        <f>-I6*I19</f>
        <v>-813918944.3633872</v>
      </c>
      <c r="J11" s="18">
        <f>-J6*J19</f>
        <v>-861612167.327883</v>
      </c>
      <c r="K11" s="18">
        <f>-K6*K19</f>
        <v>-911209833.6493251</v>
      </c>
    </row>
    <row r="12" spans="1:11" x14ac:dyDescent="0.25">
      <c r="A12" t="s">
        <v>55</v>
      </c>
      <c r="B12" s="18">
        <f>-(B6-Assumptions!B29)*Assumptions!B11</f>
        <v>-2129598.4058972034</v>
      </c>
      <c r="C12" s="18">
        <f>-(C6-B6)*Assumptions!B11</f>
        <v>-3024022.983429027</v>
      </c>
      <c r="D12" s="18">
        <f>-(D6-C6)*Assumptions!B11</f>
        <v>-3103076.0564691117</v>
      </c>
      <c r="E12" s="18">
        <f>-(E6-D6)*Assumptions!B11</f>
        <v>-3184295.741230884</v>
      </c>
      <c r="F12" s="18">
        <f>-(F6-E6)*Assumptions!B11</f>
        <v>-3267743.9296946395</v>
      </c>
      <c r="G12" s="18">
        <f>-(G6-F6)*Assumptions!B11</f>
        <v>-3353484.348557546</v>
      </c>
      <c r="H12" s="18">
        <f>-(H6-G6)*Assumptions!B11</f>
        <v>-3441582.615478416</v>
      </c>
      <c r="I12" s="18">
        <f>-(I6-H6)*Assumptions!B11</f>
        <v>-3532106.2971004765</v>
      </c>
      <c r="J12" s="18">
        <f>-(J6-I6)*Assumptions!B11</f>
        <v>-3625124.9689105656</v>
      </c>
      <c r="K12" s="18">
        <f>-(K6-J6)*Assumptions!B11</f>
        <v>-3720710.2769934963</v>
      </c>
    </row>
    <row r="13" spans="1:11" x14ac:dyDescent="0.25">
      <c r="A13" s="19" t="s">
        <v>56</v>
      </c>
      <c r="B13" s="20">
        <f>B9+B10+B11+B12</f>
        <v>1227108407.0319855</v>
      </c>
      <c r="C13" s="20">
        <f>C9+C10+C11+C12</f>
        <v>1233559735.5868385</v>
      </c>
      <c r="D13" s="20">
        <f>D9+D10+D11+D12</f>
        <v>1240479561.2317247</v>
      </c>
      <c r="E13" s="20">
        <f>E9+E10+E11+E12</f>
        <v>1247027308.3999438</v>
      </c>
      <c r="F13" s="20">
        <f>F9+F10+F11+F12</f>
        <v>1253178860.3446298</v>
      </c>
      <c r="G13" s="20">
        <f>G9+G10+G11+G12</f>
        <v>1258909040.916834</v>
      </c>
      <c r="H13" s="20">
        <f>H9+H10+H11+H12</f>
        <v>1264191572.8248906</v>
      </c>
      <c r="I13" s="20">
        <f>I9+I10+I11+I12</f>
        <v>1268999034.3137517</v>
      </c>
      <c r="J13" s="20">
        <f>J9+J10+J11+J12</f>
        <v>1273302814.2052822</v>
      </c>
      <c r="K13" s="20">
        <f>K9+K10+K11+K12</f>
        <v>1277073065.238309</v>
      </c>
    </row>
    <row r="14" spans="1:11" x14ac:dyDescent="0.25">
      <c r="A14" t="s">
        <v>57</v>
      </c>
      <c r="B14" s="21">
        <f>1/(1+Assumptions!$B$26)^(1-0.5*Assumptions!$B$32)</f>
        <v>0.9650054539002066</v>
      </c>
      <c r="C14" s="21">
        <f>1/(1+Assumptions!$B$26)^(2-0.5*Assumptions!$B$32)</f>
        <v>0.898647361510772</v>
      </c>
      <c r="D14" s="21">
        <f>1/(1+Assumptions!$B$26)^(3-0.5*Assumptions!$B$32)</f>
        <v>0.8368523484363481</v>
      </c>
      <c r="E14" s="21">
        <f>1/(1+Assumptions!$B$26)^(4-0.5*Assumptions!$B$32)</f>
        <v>0.7793066369282791</v>
      </c>
      <c r="F14" s="21">
        <f>1/(1+Assumptions!$B$26)^(5-0.5*Assumptions!$B$32)</f>
        <v>0.7257180259997297</v>
      </c>
      <c r="G14" s="21">
        <f>1/(1+Assumptions!$B$26)^(6-0.5*Assumptions!$B$32)</f>
        <v>0.6758144077110102</v>
      </c>
      <c r="H14" s="21">
        <f>1/(1+Assumptions!$B$26)^(7-0.5*Assumptions!$B$32)</f>
        <v>0.6293423854817598</v>
      </c>
      <c r="I14" s="21">
        <f>1/(1+Assumptions!$B$26)^(8-0.5*Assumptions!$B$32)</f>
        <v>0.5860659874141645</v>
      </c>
      <c r="J14" s="21">
        <f>1/(1+Assumptions!$B$26)^(9-0.5*Assumptions!$B$32)</f>
        <v>0.545765468093829</v>
      </c>
      <c r="K14" s="21">
        <f>1/(1+Assumptions!$B$26)^(10-0.5*Assumptions!$B$32)</f>
        <v>0.5082361927841803</v>
      </c>
    </row>
    <row r="15" spans="1:11" x14ac:dyDescent="0.25">
      <c r="A15" s="19" t="s">
        <v>58</v>
      </c>
      <c r="B15" s="20">
        <f>B13*B14</f>
        <v>1184166305.3126607</v>
      </c>
      <c r="C15" s="20">
        <f>C13*C14</f>
        <v>1108535201.651038</v>
      </c>
      <c r="D15" s="20">
        <f>D13*D14</f>
        <v>1038098234.0040596</v>
      </c>
      <c r="E15" s="20">
        <f>E13*E14</f>
        <v>971816657.8668841</v>
      </c>
      <c r="F15" s="20">
        <f>F13*F14</f>
        <v>909454488.7538956</v>
      </c>
      <c r="G15" s="20">
        <f>G13*G14</f>
        <v>850788867.8492461</v>
      </c>
      <c r="H15" s="20">
        <f>H13*H14</f>
        <v>795609340.1475545</v>
      </c>
      <c r="I15" s="20">
        <f>I13*I14</f>
        <v>743717172.07271</v>
      </c>
      <c r="J15" s="20">
        <f>J13*J14</f>
        <v>694924706.4199356</v>
      </c>
      <c r="K15" s="20">
        <f>K13*K14</f>
        <v>649054752.5839412</v>
      </c>
    </row>
    <row r="17" spans="1:2" x14ac:dyDescent="0.25">
      <c r="A17" s="22" t="s">
        <v>59</v>
      </c>
      <c r="B17" s="23">
        <f>SUM(B15:K15)</f>
        <v>8946165726.661924</v>
      </c>
    </row>
    <row r="19" spans="1:11" x14ac:dyDescent="0.25">
      <c r="A19" t="s">
        <v>7</v>
      </c>
      <c r="B19" s="9">
        <f>Assumptions!$B$10+($B$20-Assumptions!$B$10)*0/9</f>
        <v>0.18431490209542223</v>
      </c>
      <c r="C19" s="9">
        <f>Assumptions!$B$10+($B$20-Assumptions!$B$10)*1/9</f>
        <v>0.19216588190836006</v>
      </c>
      <c r="D19" s="9">
        <f>Assumptions!$B$10+($B$20-Assumptions!$B$10)*2/9</f>
        <v>0.20001686172129787</v>
      </c>
      <c r="E19" s="9">
        <f>Assumptions!$B$10+($B$20-Assumptions!$B$10)*3/9</f>
        <v>0.2078678415342357</v>
      </c>
      <c r="F19" s="9">
        <f>Assumptions!$B$10+($B$20-Assumptions!$B$10)*4/9</f>
        <v>0.21571882134717352</v>
      </c>
      <c r="G19" s="9">
        <f>Assumptions!$B$10+($B$20-Assumptions!$B$10)*5/9</f>
        <v>0.22356980116011138</v>
      </c>
      <c r="H19" s="9">
        <f>Assumptions!$B$10+($B$20-Assumptions!$B$10)*6/9</f>
        <v>0.2314207809730492</v>
      </c>
      <c r="I19" s="9">
        <f>Assumptions!$B$10+($B$20-Assumptions!$B$10)*7/9</f>
        <v>0.23927176078598703</v>
      </c>
      <c r="J19" s="9">
        <f>Assumptions!$B$10+($B$20-Assumptions!$B$10)*8/9</f>
        <v>0.24712274059892483</v>
      </c>
      <c r="K19" s="9">
        <f>Assumptions!$B$10+($B$20-Assumptions!$B$10)*9/9</f>
        <v>0.25497372041186267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0.25497372041186267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1277073065.238309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1533310034.7595081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0.16468701927187984</v>
      </c>
    </row>
    <row r="7" spans="1:2" x14ac:dyDescent="0.25">
      <c r="A7" t="s">
        <v>66</v>
      </c>
      <c r="B7" s="18">
        <f>-MAX(B5,0)*B6</f>
        <v>-252516259.24420586</v>
      </c>
    </row>
    <row r="8" spans="1:2" x14ac:dyDescent="0.25">
      <c r="A8" t="s">
        <v>67</v>
      </c>
      <c r="B8" s="18">
        <f>IF(OR(Assumptions!$B$33=0,Assumptions!B12&lt;=0),B5,MAX(B5+B7,0))</f>
        <v>1280793775.5153022</v>
      </c>
    </row>
    <row r="9" spans="1:2" x14ac:dyDescent="0.25">
      <c r="A9" t="s">
        <v>68</v>
      </c>
      <c r="B9" s="18">
        <f>B8*(1+Assumptions!B12)/(Assumptions!B26-Assumptions!B12)</f>
        <v>26878678553.438667</v>
      </c>
    </row>
    <row r="10" spans="1:2" x14ac:dyDescent="0.25">
      <c r="A10" t="s">
        <v>69</v>
      </c>
      <c r="B10" s="18">
        <f>B9/(1+Assumptions!B26)^(10-0.5*Assumptions!B32)</f>
        <v>13660717255.069468</v>
      </c>
    </row>
    <row r="11" spans="1:2" x14ac:dyDescent="0.25">
      <c r="A11" t="s">
        <v>70</v>
      </c>
      <c r="B11" s="18">
        <f>Forecast!B17+B10</f>
        <v>22606882981.73139</v>
      </c>
    </row>
    <row r="12" spans="1:2" x14ac:dyDescent="0.25">
      <c r="A12" t="s">
        <v>71</v>
      </c>
      <c r="B12" s="18">
        <f>-Assumptions!B30</f>
        <v>-15047914000</v>
      </c>
    </row>
    <row r="13" spans="1:2" x14ac:dyDescent="0.25">
      <c r="A13" t="s">
        <v>72</v>
      </c>
      <c r="B13" s="18">
        <f>B11+B12</f>
        <v>7558968981.731392</v>
      </c>
    </row>
    <row r="14" spans="1:2" x14ac:dyDescent="0.25">
      <c r="A14" s="19" t="s">
        <v>73</v>
      </c>
      <c r="B14" s="24">
        <f>B13/Assumptions!B31</f>
        <v>70.29441177807178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2380292478.1534367</v>
      </c>
    </row>
    <row r="18" spans="1:2" x14ac:dyDescent="0.25">
      <c r="A18" t="s">
        <v>68</v>
      </c>
      <c r="B18" s="18">
        <f>B17*Assumptions!B13</f>
        <v>44990614902.25298</v>
      </c>
    </row>
    <row r="19" spans="1:2" x14ac:dyDescent="0.25">
      <c r="A19" t="s">
        <v>69</v>
      </c>
      <c r="B19" s="18">
        <f>B18/(1+Assumptions!B26)^(10-0.5*Assumptions!B32)</f>
        <v>22865858828.94026</v>
      </c>
    </row>
    <row r="20" spans="1:2" x14ac:dyDescent="0.25">
      <c r="A20" t="s">
        <v>70</v>
      </c>
      <c r="B20" s="18">
        <f>Forecast!B17+B19</f>
        <v>31812024555.60219</v>
      </c>
    </row>
    <row r="21" spans="1:2" x14ac:dyDescent="0.25">
      <c r="A21" t="s">
        <v>71</v>
      </c>
      <c r="B21" s="18">
        <f>-Assumptions!B30</f>
        <v>-15047914000</v>
      </c>
    </row>
    <row r="22" spans="1:2" x14ac:dyDescent="0.25">
      <c r="A22" t="s">
        <v>72</v>
      </c>
      <c r="B22" s="18">
        <f>B20+B21</f>
        <v>16764110555.602188</v>
      </c>
    </row>
    <row r="23" spans="1:2" x14ac:dyDescent="0.25">
      <c r="A23" s="19" t="s">
        <v>73</v>
      </c>
      <c r="B23" s="25">
        <f>B22/Assumptions!B31</f>
        <v>155.89735760745248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187.15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70.29441177807178</v>
      </c>
    </row>
    <row r="29" spans="1:2" x14ac:dyDescent="0.25">
      <c r="A29" s="19" t="s">
        <v>81</v>
      </c>
      <c r="B29" s="11">
        <f>B28/B26-1</f>
        <v>-0.6243953418216843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0.053842</v>
      </c>
      <c r="B5" s="31">
        <v>157.76519580173266</v>
      </c>
      <c r="C5" s="31">
        <v>178.9229948601123</v>
      </c>
      <c r="D5" s="31">
        <v>207.85142836626798</v>
      </c>
      <c r="E5" s="31">
        <v>249.4393276563561</v>
      </c>
      <c r="F5" s="31">
        <v>313.7648153691087</v>
      </c>
    </row>
    <row r="6" spans="1:6" x14ac:dyDescent="0.25">
      <c r="A6" s="30">
        <v>0.063842</v>
      </c>
      <c r="B6" s="31">
        <v>98.05390556050197</v>
      </c>
      <c r="C6" s="31">
        <v>108.26978900700556</v>
      </c>
      <c r="D6" s="31">
        <v>121.42080168234213</v>
      </c>
      <c r="E6" s="31">
        <v>138.8078991574736</v>
      </c>
      <c r="F6" s="31">
        <v>162.63416277200636</v>
      </c>
    </row>
    <row r="7" spans="1:6" x14ac:dyDescent="0.25">
      <c r="A7" s="30">
        <v>0.073842</v>
      </c>
      <c r="B7" s="31">
        <v>58.62905622793636</v>
      </c>
      <c r="C7" s="31">
        <v>63.81642869666136</v>
      </c>
      <c r="D7" s="32">
        <v>70.29519945534636</v>
      </c>
      <c r="E7" s="31">
        <v>78.50720451396812</v>
      </c>
      <c r="F7" s="31">
        <v>89.12178413561945</v>
      </c>
    </row>
    <row r="8" spans="1:6" x14ac:dyDescent="0.25">
      <c r="A8" s="30">
        <v>0.083842</v>
      </c>
      <c r="B8" s="31">
        <v>30.650508518800883</v>
      </c>
      <c r="C8" s="31">
        <v>33.253904796124345</v>
      </c>
      <c r="D8" s="31">
        <v>36.47985903371761</v>
      </c>
      <c r="E8" s="31">
        <v>40.50181147161735</v>
      </c>
      <c r="F8" s="31">
        <v>45.56422329086836</v>
      </c>
    </row>
    <row r="9" spans="1:6" x14ac:dyDescent="0.25">
      <c r="A9" s="30">
        <v>0.093842</v>
      </c>
      <c r="B9" s="31">
        <v>9.7630978318502</v>
      </c>
      <c r="C9" s="31">
        <v>10.94077665013599</v>
      </c>
      <c r="D9" s="31">
        <v>12.435328718490862</v>
      </c>
      <c r="E9" s="31">
        <v>14.321205005729011</v>
      </c>
      <c r="F9" s="31">
        <v>16.698161864171094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2815139000</v>
      </c>
      <c r="C5" s="18">
        <v>2679634000</v>
      </c>
      <c r="D5" s="18">
        <v>2711584000</v>
      </c>
      <c r="E5" s="18">
        <v>2633454000</v>
      </c>
      <c r="F5" s="6" t="s">
        <v>91</v>
      </c>
    </row>
    <row r="6" spans="1:6" x14ac:dyDescent="0.25">
      <c r="A6" t="s">
        <v>51</v>
      </c>
      <c r="B6" s="18">
        <v>1554271000</v>
      </c>
      <c r="C6" s="18">
        <v>1569634000</v>
      </c>
      <c r="D6" s="18">
        <v>1114717000</v>
      </c>
      <c r="E6" s="18">
        <v>995375000</v>
      </c>
      <c r="F6" s="6" t="s">
        <v>92</v>
      </c>
    </row>
    <row r="7" spans="1:6" x14ac:dyDescent="0.25">
      <c r="A7" t="s">
        <v>93</v>
      </c>
      <c r="B7" s="18">
        <v>292285000</v>
      </c>
      <c r="C7" s="18">
        <v>269517000</v>
      </c>
      <c r="D7" s="18">
        <v>716309000</v>
      </c>
      <c r="E7" s="18">
        <v>707576000</v>
      </c>
      <c r="F7" s="6" t="s">
        <v>94</v>
      </c>
    </row>
    <row r="8" spans="1:6" x14ac:dyDescent="0.25">
      <c r="A8" t="s">
        <v>95</v>
      </c>
      <c r="B8" s="18">
        <v>224819000</v>
      </c>
      <c r="C8" s="18">
        <v>228149000</v>
      </c>
      <c r="D8" s="18">
        <v>236698000</v>
      </c>
      <c r="E8" s="18">
        <v>214443000</v>
      </c>
      <c r="F8" s="6" t="s">
        <v>96</v>
      </c>
    </row>
    <row r="9" spans="1:6" x14ac:dyDescent="0.25">
      <c r="A9" t="s">
        <v>97</v>
      </c>
      <c r="B9" s="18">
        <v>179626000</v>
      </c>
      <c r="C9" s="18">
        <v>143056000</v>
      </c>
      <c r="D9" s="18">
        <v>-64470000</v>
      </c>
      <c r="E9" s="18">
        <v>113120000</v>
      </c>
      <c r="F9" s="6" t="s">
        <v>98</v>
      </c>
    </row>
    <row r="10" spans="1:6" x14ac:dyDescent="0.25">
      <c r="A10" t="s">
        <v>99</v>
      </c>
      <c r="B10" s="18">
        <v>15319130000</v>
      </c>
      <c r="C10" s="18">
        <v>15756194000</v>
      </c>
      <c r="D10" s="18">
        <v>14463465000</v>
      </c>
      <c r="E10" s="18">
        <v>15171155000</v>
      </c>
      <c r="F10" s="6" t="s">
        <v>100</v>
      </c>
    </row>
    <row r="11" spans="1:6" x14ac:dyDescent="0.25">
      <c r="A11" t="s">
        <v>101</v>
      </c>
      <c r="B11" s="18">
        <v>271216000</v>
      </c>
      <c r="C11" s="18">
        <v>444375000</v>
      </c>
      <c r="D11" s="18">
        <v>209593000</v>
      </c>
      <c r="E11" s="18">
        <v>145039000</v>
      </c>
      <c r="F11" s="6" t="s">
        <v>102</v>
      </c>
    </row>
    <row r="12" spans="1:6" x14ac:dyDescent="0.25">
      <c r="A12" t="s">
        <v>34</v>
      </c>
      <c r="B12" s="34">
        <v>107533000</v>
      </c>
      <c r="C12" s="34">
        <v>108080000</v>
      </c>
      <c r="D12" s="34">
        <v>108907000</v>
      </c>
      <c r="E12" s="34">
        <v>109386000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