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<sst xmlns="http://schemas.openxmlformats.org/spreadsheetml/2006/main" count="113" uniqueCount="101">
  <si>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Starbucks Corporation (SBUX)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</si>
  <si>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</si>
  <si>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</si>
  <si>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</si>
  <si>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</si>
  <si>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</si>
  <si>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</si>
  <si>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</si>
  <si>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</si>
  <si>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</si>
  <si>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</si>
  <si>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</si>
  <si>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</si>
  <si>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</si>
  <si>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</si>
  <si>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</si>
  <si>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</si>
  <si>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</si>
  <si>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</si>
  <si>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</si>
  <si>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</si>
  <si>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</si>
  <si>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</si>
  <si>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</si>
  <si>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</si>
  <si>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</si>
  <si>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</si>
  <si>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</si>
  <si>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</si>
  <si>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</si>
  <si>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</si>
  <si>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</si>
  <si>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</si>
  <si>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</si>
  <si>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</si>
  <si>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</si>
  <si>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</si>
  <si>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</si>
  <si>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</si>
  <si>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</si>
  <si>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</si>
  <si>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</si>
  <si>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</si>
  <si>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</si>
  <si>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</si>
  <si>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</si>
  <si>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</si>
  <si>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</si>
  <si>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</si>
  <si>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</si>
  <si>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</si>
  <si>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</si>
  <si>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</si>
  <si>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</si>
  <si>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</si>
  <si>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</si>
  <si>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</si>
  <si>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</si>
  <si>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</si>
  <si>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</si>
  <si>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</si>
  <si>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</si>
  <si>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</si>
  <si>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</si>
  <si>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</si>
  <si>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</si>
  <si>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</si>
  <si>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</si>
  <si>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</si>
  <si>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</si>
  <si>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</si>
  <si>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</si>
  <si>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</si>
  <si>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</si>
  <si>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</si>
  <si>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</si>
  <si>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</si>
  <si>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</si>
  <si>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</si>
  <si>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</si>
  <si>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</si>
  <si>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</si>
  <si>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</si>
  <si>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</si>
  <si>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</si>
  <si>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</si>
  <si>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</si>
  <si>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</si>
  <si>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</si>
  <si>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</si>
  <si>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</si>
  <si>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</si>
  <si>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</si>
  <si>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</si>
  <si>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</si>
  <si>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</si>
  <si>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</si>
  <si>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</si>
  <si>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6.5% of revenue against depreciation of 4.5%. A perpetuity has to be a steady state, so the terminal year uses maintenance capex at depreciation and then charges the reinvestment terminal growth requires (g/ROIC of NOPAT). The bridge is shown under Terminal Value.</t>
  </si>
  <si>
    <t>Current EV/EBITDA of 24.7x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</si>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</sst>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0.048597955054982656</v>
      </c>
    </row>
    <row r="7" spans="1:2" x14ac:dyDescent="0.25">
      <c r="A7" t="s">
        <v>5</v>
      </c>
      <c r="B7" s="6">
        <v>0.13195024086430346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0.044848771437780544</v>
      </c>
    </row>
    <row r="10" spans="1:2" x14ac:dyDescent="0.25">
      <c r="A10" t="s">
        <v>8</v>
      </c>
      <c r="B10" s="6">
        <v>0.06518475846476662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0.5245766063470508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0.97655</v>
      </c>
      <c r="C19" s="8" t="s">
        <v>19</v>
      </c>
    </row>
    <row r="20" spans="1:2" x14ac:dyDescent="0.25">
      <c r="A20" t="s">
        <v>20</v>
      </c>
      <c r="B20" s="10">
        <f>B17+B19*B18</f>
        <v>0.10369025000000001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109246201856</v>
      </c>
    </row>
    <row r="23" spans="1:2" x14ac:dyDescent="0.25">
      <c r="A23" t="s">
        <v>24</v>
      </c>
      <c r="B23" s="11">
        <v>26611500000</v>
      </c>
    </row>
    <row r="24" spans="1:2" x14ac:dyDescent="0.25">
      <c r="A24" t="s">
        <v>25</v>
      </c>
      <c r="B24" s="10">
        <f>B22/(B22+B23)</f>
        <v>0.8041222570641862</v>
      </c>
    </row>
    <row r="25" spans="1:2" x14ac:dyDescent="0.25">
      <c r="A25" t="s">
        <v>26</v>
      </c>
      <c r="B25" s="10">
        <f>1-B24</f>
        <v>0.19587774293581384</v>
      </c>
    </row>
    <row r="26" spans="1:2" x14ac:dyDescent="0.25">
      <c r="A26" t="s">
        <v>27</v>
      </c>
      <c r="B26" s="12">
        <f>B24*B20+B25*B21*(1-B8)</f>
        <v>0.091113713843176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37184400000</v>
      </c>
      <c r="C29" s="8" t="s">
        <v>30</v>
      </c>
    </row>
    <row r="30" spans="1:2" x14ac:dyDescent="0.25">
      <c r="A30" t="s">
        <v>31</v>
      </c>
      <c r="B30" s="11">
        <v>23144500000</v>
      </c>
    </row>
    <row r="31" spans="1:2" x14ac:dyDescent="0.25">
      <c r="A31" t="s">
        <v>32</v>
      </c>
      <c r="B31" s="13">
        <v>1139800000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0.048597955054982656</v>
      </c>
      <c r="C5" s="10">
        <f>Assumptions!B6</f>
        <v>0.048597955054982656</v>
      </c>
      <c r="D5" s="10">
        <f>Assumptions!B6</f>
        <v>0.048597955054982656</v>
      </c>
      <c r="E5" s="10">
        <f>Assumptions!B6</f>
        <v>0.048597955054982656</v>
      </c>
      <c r="F5" s="10">
        <f>Assumptions!B6</f>
        <v>0.048597955054982656</v>
      </c>
    </row>
    <row r="6" spans="1:6" x14ac:dyDescent="0.25">
      <c r="A6" t="s">
        <v>43</v>
      </c>
      <c r="B6" s="18">
        <f>Assumptions!B29*(1+B5)</f>
        <v>38991485799.946495</v>
      </c>
      <c r="C6" s="18">
        <f>B6*(1+C5)</f>
        <v>40886392274.37929</v>
      </c>
      <c r="D6" s="18">
        <f>C6*(1+D5)</f>
        <v>42873387328.48996</v>
      </c>
      <c r="E6" s="18">
        <f>D6*(1+E5)</f>
        <v>44956946278.93478</v>
      </c>
      <c r="F6" s="18">
        <f>E6*(1+F5)</f>
        <v>47141761933.60772</v>
      </c>
    </row>
    <row r="7" spans="1:6" x14ac:dyDescent="0.25">
      <c r="A7" t="s">
        <v>5</v>
      </c>
      <c r="B7" s="10">
        <f>Assumptions!B7</f>
        <v>0.13195024086430346</v>
      </c>
      <c r="C7" s="10">
        <f>Assumptions!B7</f>
        <v>0.13195024086430346</v>
      </c>
      <c r="D7" s="10">
        <f>Assumptions!B7</f>
        <v>0.13195024086430346</v>
      </c>
      <c r="E7" s="10">
        <f>Assumptions!B7</f>
        <v>0.13195024086430346</v>
      </c>
      <c r="F7" s="10">
        <f>Assumptions!B7</f>
        <v>0.13195024086430346</v>
      </c>
    </row>
    <row r="8" spans="1:6" x14ac:dyDescent="0.25">
      <c r="A8" t="s">
        <v>44</v>
      </c>
      <c r="B8" s="18">
        <f>B6*B7</f>
        <v>5144935942.960008</v>
      </c>
      <c r="C8" s="18">
        <f>C6*C7</f>
        <v>5394969308.6767435</v>
      </c>
      <c r="D8" s="18">
        <f>D6*D7</f>
        <v>5657153784.662826</v>
      </c>
      <c r="E8" s="18">
        <f>E6*E7</f>
        <v>5932079890.028995</v>
      </c>
      <c r="F8" s="18">
        <f>F6*F7</f>
        <v>6220366841.90719</v>
      </c>
    </row>
    <row r="9" spans="1:6" x14ac:dyDescent="0.25">
      <c r="A9" t="s">
        <v>45</v>
      </c>
      <c r="B9" s="18">
        <f>B8*(1-Assumptions!B8)</f>
        <v>4064499394.9384065</v>
      </c>
      <c r="C9" s="18">
        <f>C8*(1-Assumptions!B8)</f>
        <v>4262025753.8546276</v>
      </c>
      <c r="D9" s="18">
        <f>D8*(1-Assumptions!B8)</f>
        <v>4469151489.883633</v>
      </c>
      <c r="E9" s="18">
        <f>E8*(1-Assumptions!B8)</f>
        <v>4686343113.122906</v>
      </c>
      <c r="F9" s="18">
        <f>F8*(1-Assumptions!B8)</f>
        <v>4914089805.106681</v>
      </c>
    </row>
    <row r="10" spans="1:6" x14ac:dyDescent="0.25">
      <c r="A10" t="s">
        <v>46</v>
      </c>
      <c r="B10" s="18">
        <f>B6*Assumptions!B9</f>
        <v>1748720234.661266</v>
      </c>
      <c r="C10" s="18">
        <f>C6*Assumptions!B9</f>
        <v>1833704462.0290728</v>
      </c>
      <c r="D10" s="18">
        <f>D6*Assumptions!B9</f>
        <v>1922818749.0588827</v>
      </c>
      <c r="E10" s="18">
        <f>E6*Assumptions!B9</f>
        <v>2016263808.2045243</v>
      </c>
      <c r="F10" s="18">
        <f>F6*Assumptions!B9</f>
        <v>2114250106.134636</v>
      </c>
    </row>
    <row r="11" spans="1:6" x14ac:dyDescent="0.25">
      <c r="A11" t="s">
        <v>47</v>
      </c>
      <c r="B11" s="18">
        <f>-B6*Assumptions!B10</f>
        <v>-2541650584.05189</v>
      </c>
      <c r="C11" s="18">
        <f>-C6*Assumptions!B10</f>
        <v>-2665169604.901114</v>
      </c>
      <c r="D11" s="18">
        <f>-D6*Assumptions!B10</f>
        <v>-2794691397.574004</v>
      </c>
      <c r="E11" s="18">
        <f>-E6*Assumptions!B10</f>
        <v>-2930507684.505852</v>
      </c>
      <c r="F11" s="18">
        <f>-F6*Assumptions!B10</f>
        <v>-3072924365.245749</v>
      </c>
    </row>
    <row r="12" spans="1:6" x14ac:dyDescent="0.25">
      <c r="A12" t="s">
        <v>48</v>
      </c>
      <c r="B12" s="18">
        <f>-(B6-Assumptions!B29)*Assumptions!B11</f>
        <v>-1807085799.946495</v>
      </c>
      <c r="C12" s="18">
        <f>-(C6-B6)*Assumptions!B11</f>
        <v>-1894906474.4327927</v>
      </c>
      <c r="D12" s="18">
        <f>-(D6-C6)*Assumptions!B11</f>
        <v>-1986995054.110672</v>
      </c>
      <c r="E12" s="18">
        <f>-(E6-D6)*Assumptions!B11</f>
        <v>-2083558950.4448166</v>
      </c>
      <c r="F12" s="18">
        <f>-(F6-E6)*Assumptions!B11</f>
        <v>-2184815654.672943</v>
      </c>
    </row>
    <row r="13" spans="1:6" x14ac:dyDescent="0.25">
      <c r="A13" s="19" t="s">
        <v>49</v>
      </c>
      <c r="B13" s="20">
        <f>B9+B10+B11+B12</f>
        <v>1464483245.6012874</v>
      </c>
      <c r="C13" s="20">
        <f>C9+C10+C11+C12</f>
        <v>1535654136.5497937</v>
      </c>
      <c r="D13" s="20">
        <f>D9+D10+D11+D12</f>
        <v>1610283787.2578392</v>
      </c>
      <c r="E13" s="20">
        <f>E9+E10+E11+E12</f>
        <v>1688540286.376761</v>
      </c>
      <c r="F13" s="20">
        <f>F9+F10+F11+F12</f>
        <v>1770599891.3226247</v>
      </c>
    </row>
    <row r="14" spans="1:6" x14ac:dyDescent="0.25">
      <c r="A14" t="s">
        <v>50</v>
      </c>
      <c r="B14" s="21">
        <f>1/(1+Assumptions!$B$26)^(1-0.5*Assumptions!$B$32)</f>
        <v>0.9573373275952757</v>
      </c>
      <c r="C14" s="21">
        <f>1/(1+Assumptions!$B$26)^(2-0.5*Assumptions!$B$32)</f>
        <v>0.8773946431516233</v>
      </c>
      <c r="D14" s="21">
        <f>1/(1+Assumptions!$B$26)^(3-0.5*Assumptions!$B$32)</f>
        <v>0.8041275918540329</v>
      </c>
      <c r="E14" s="21">
        <f>1/(1+Assumptions!$B$26)^(4-0.5*Assumptions!$B$32)</f>
        <v>0.7369787233465283</v>
      </c>
      <c r="F14" s="21">
        <f>1/(1+Assumptions!$B$26)^(5-0.5*Assumptions!$B$32)</f>
        <v>0.675437137299562</v>
      </c>
    </row>
    <row r="15" spans="1:6" x14ac:dyDescent="0.25">
      <c r="A15" s="19" t="s">
        <v>51</v>
      </c>
      <c r="B15" s="20">
        <f>B13*B14</f>
        <v>1402004476.6519923</v>
      </c>
      <c r="C15" s="20">
        <f>C13*C14</f>
        <v>1347374713.1424205</v>
      </c>
      <c r="D15" s="20">
        <f>D13*D14</f>
        <v>1294873624.0492382</v>
      </c>
      <c r="E15" s="20">
        <f>E13*E14</f>
        <v>1244418264.5731266</v>
      </c>
      <c r="F15" s="20">
        <f>F13*F14</f>
        <v>1195928921.897869</v>
      </c>
    </row>
    <row r="17" spans="1:2" x14ac:dyDescent="0.25">
      <c r="A17" s="22" t="s">
        <v>52</v>
      </c>
      <c r="B17" s="23">
        <f>SUM(B15:F15)</f>
        <v>6484600000.314647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1770599891.3226247</v>
      </c>
    </row>
    <row r="5" spans="1:2" x14ac:dyDescent="0.25">
      <c r="A5" t="s">
        <v>56</v>
      </c>
      <c r="B5" s="18">
        <f>IF(Assumptions!$B$33=0,B4,B4-Forecast!F11-Forecast!F10-Forecast!F12)</f>
        <v>4914089805.106681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0.04765748166714936</v>
      </c>
    </row>
    <row r="7" spans="1:2" x14ac:dyDescent="0.25">
      <c r="A7" t="s">
        <v>58</v>
      </c>
      <c r="B7" s="18">
        <f>-MAX(Forecast!F9,0)*B6</f>
        <v>-234193144.7975972</v>
      </c>
    </row>
    <row r="8" spans="1:2" x14ac:dyDescent="0.25">
      <c r="A8" t="s">
        <v>59</v>
      </c>
      <c r="B8" s="18">
        <f>IF(OR(Assumptions!$B$33=0,Assumptions!B12&lt;=0),B5,MAX(B5+B7,0))</f>
        <v>4679896660.309084</v>
      </c>
    </row>
    <row r="9" spans="1:2" x14ac:dyDescent="0.25">
      <c r="A9" t="s">
        <v>60</v>
      </c>
      <c r="B9" s="18">
        <f>B8*(1+Assumptions!B12)/(Assumptions!B26-Assumptions!B12)</f>
        <v>72555205236.16641</v>
      </c>
    </row>
    <row r="10" spans="1:2" x14ac:dyDescent="0.25">
      <c r="A10" t="s">
        <v>61</v>
      </c>
      <c r="B10" s="18">
        <f>B9/(1+Assumptions!B26)^(5-0.5*Assumptions!B32)</f>
        <v>49006480120.89843</v>
      </c>
    </row>
    <row r="11" spans="1:2" x14ac:dyDescent="0.25">
      <c r="A11" t="s">
        <v>62</v>
      </c>
      <c r="B11" s="18">
        <f>Forecast!B17+B10</f>
        <v>55491080121.21307</v>
      </c>
    </row>
    <row r="12" spans="1:2" x14ac:dyDescent="0.25">
      <c r="A12" t="s">
        <v>63</v>
      </c>
      <c r="B12" s="18">
        <f>-Assumptions!B30</f>
        <v>-23144500000</v>
      </c>
    </row>
    <row r="13" spans="1:2" x14ac:dyDescent="0.25">
      <c r="A13" t="s">
        <v>64</v>
      </c>
      <c r="B13" s="18">
        <f>B11+B12</f>
        <v>32346580121.213074</v>
      </c>
    </row>
    <row r="14" spans="1:2" x14ac:dyDescent="0.25">
      <c r="A14" s="19" t="s">
        <v>65</v>
      </c>
      <c r="B14" s="24">
        <f>B13/Assumptions!B31</f>
        <v>28.379171890869515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8334616948.041826</v>
      </c>
    </row>
    <row r="18" spans="1:2" x14ac:dyDescent="0.25">
      <c r="A18" t="s">
        <v>60</v>
      </c>
      <c r="B18" s="18">
        <f>B17*Assumptions!B13</f>
        <v>166692338960.83652</v>
      </c>
    </row>
    <row r="19" spans="1:2" x14ac:dyDescent="0.25">
      <c r="A19" t="s">
        <v>61</v>
      </c>
      <c r="B19" s="18">
        <f>B18/(1+Assumptions!B26)^(5-0.5*Assumptions!B32)</f>
        <v>112590196237.47566</v>
      </c>
    </row>
    <row r="20" spans="1:2" x14ac:dyDescent="0.25">
      <c r="A20" t="s">
        <v>62</v>
      </c>
      <c r="B20" s="18">
        <f>Forecast!B17+B19</f>
        <v>119074796237.79031</v>
      </c>
    </row>
    <row r="21" spans="1:2" x14ac:dyDescent="0.25">
      <c r="A21" t="s">
        <v>63</v>
      </c>
      <c r="B21" s="18">
        <f>-Assumptions!B30</f>
        <v>-23144500000</v>
      </c>
    </row>
    <row r="22" spans="1:2" x14ac:dyDescent="0.25">
      <c r="A22" t="s">
        <v>64</v>
      </c>
      <c r="B22" s="18">
        <f>B20+B21</f>
        <v>95930296237.79031</v>
      </c>
    </row>
    <row r="23" spans="1:2" x14ac:dyDescent="0.25">
      <c r="A23" s="19" t="s">
        <v>65</v>
      </c>
      <c r="B23" s="25">
        <f>B22/Assumptions!B31</f>
        <v>84.16414830478182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95.83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28.379171890869515</v>
      </c>
    </row>
    <row r="29" spans="1:2" x14ac:dyDescent="0.25">
      <c r="A29" s="19" t="s">
        <v>73</v>
      </c>
      <c r="B29" s="12">
        <f>B28/B26-1</f>
        <v>-0.7038592101547583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0.071114</v>
      </c>
      <c r="B5" s="31">
        <v>41.25559949735042</v>
      </c>
      <c r="C5" s="31">
        <v>46.39411911356409</v>
      </c>
      <c r="D5" s="31">
        <v>52.640405094270896</v>
      </c>
      <c r="E5" s="31">
        <v>60.39861406415821</v>
      </c>
      <c r="F5" s="31">
        <v>70.2967253342331</v>
      </c>
    </row>
    <row r="6" spans="1:6" x14ac:dyDescent="0.25">
      <c r="A6" s="30">
        <v>0.081114</v>
      </c>
      <c r="B6" s="31">
        <v>30.777545930997558</v>
      </c>
      <c r="C6" s="31">
        <v>34.239273618521224</v>
      </c>
      <c r="D6" s="31">
        <v>38.31275547244709</v>
      </c>
      <c r="E6" s="31">
        <v>43.17751789446615</v>
      </c>
      <c r="F6" s="31">
        <v>49.09094928119109</v>
      </c>
    </row>
    <row r="7" spans="1:6" x14ac:dyDescent="0.25">
      <c r="A7" s="30">
        <v>0.091114</v>
      </c>
      <c r="B7" s="31">
        <v>23.10602393696056</v>
      </c>
      <c r="C7" s="31">
        <v>25.559061093679777</v>
      </c>
      <c r="D7" s="32">
        <v>28.378931441672787</v>
      </c>
      <c r="E7" s="31">
        <v>31.655671598884883</v>
      </c>
      <c r="F7" s="31">
        <v>35.5114087909333</v>
      </c>
    </row>
    <row r="8" spans="1:6" x14ac:dyDescent="0.25">
      <c r="A8" s="30">
        <v>0.101114</v>
      </c>
      <c r="B8" s="31">
        <v>17.260572461467742</v>
      </c>
      <c r="C8" s="31">
        <v>19.065524429520593</v>
      </c>
      <c r="D8" s="31">
        <v>21.10411438955057</v>
      </c>
      <c r="E8" s="31">
        <v>23.425623353449254</v>
      </c>
      <c r="F8" s="31">
        <v>26.09424022308357</v>
      </c>
    </row>
    <row r="9" spans="1:6" x14ac:dyDescent="0.25">
      <c r="A9" s="30">
        <v>0.111114</v>
      </c>
      <c r="B9" s="31">
        <v>12.668933723187731</v>
      </c>
      <c r="C9" s="31">
        <v>14.036302286302226</v>
      </c>
      <c r="D9" s="31">
        <v>15.559486494814157</v>
      </c>
      <c r="E9" s="31">
        <v>17.26730054455853</v>
      </c>
      <c r="F9" s="31">
        <v>19.19612995749568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37184400000</v>
      </c>
      <c r="C5" s="18">
        <v>36176200000</v>
      </c>
      <c r="D5" s="18">
        <v>35975600000</v>
      </c>
      <c r="E5" s="18">
        <v>32250300000</v>
      </c>
      <c r="F5" s="8" t="s">
        <v>84</v>
      </c>
    </row>
    <row r="6" spans="1:6" x14ac:dyDescent="0.25">
      <c r="A6" t="s">
        <v>44</v>
      </c>
      <c r="B6" s="18">
        <v>3580800000</v>
      </c>
      <c r="C6" s="18">
        <v>5107600000</v>
      </c>
      <c r="D6" s="18">
        <v>5502900000</v>
      </c>
      <c r="E6" s="18">
        <v>4429700000</v>
      </c>
      <c r="F6" s="8" t="s">
        <v>85</v>
      </c>
    </row>
    <row r="7" spans="1:6" x14ac:dyDescent="0.25">
      <c r="A7" t="s">
        <v>86</v>
      </c>
      <c r="B7" s="18">
        <v>1771500000</v>
      </c>
      <c r="C7" s="18">
        <v>1592400000</v>
      </c>
      <c r="D7" s="18">
        <v>1450300000</v>
      </c>
      <c r="E7" s="18">
        <v>1529400000</v>
      </c>
      <c r="F7" s="8" t="s">
        <v>87</v>
      </c>
    </row>
    <row r="8" spans="1:6" x14ac:dyDescent="0.25">
      <c r="A8" t="s">
        <v>88</v>
      </c>
      <c r="B8" s="18">
        <v>2305500000</v>
      </c>
      <c r="C8" s="18">
        <v>2777500000</v>
      </c>
      <c r="D8" s="18">
        <v>2333600000</v>
      </c>
      <c r="E8" s="18">
        <v>1841300000</v>
      </c>
      <c r="F8" s="8" t="s">
        <v>89</v>
      </c>
    </row>
    <row r="9" spans="1:6" x14ac:dyDescent="0.25">
      <c r="A9" t="s">
        <v>90</v>
      </c>
      <c r="B9" s="18">
        <v>1494400000</v>
      </c>
      <c r="C9" s="18">
        <v>1048800000</v>
      </c>
      <c r="D9" s="18">
        <v>1133400000</v>
      </c>
      <c r="E9" s="18">
        <v>2133000000</v>
      </c>
      <c r="F9" s="8" t="s">
        <v>91</v>
      </c>
    </row>
    <row r="10" spans="1:6" x14ac:dyDescent="0.25">
      <c r="A10" t="s">
        <v>92</v>
      </c>
      <c r="B10" s="18">
        <v>26611500000</v>
      </c>
      <c r="C10" s="18">
        <v>25803100000</v>
      </c>
      <c r="D10" s="18">
        <v>24599800000</v>
      </c>
      <c r="E10" s="18">
        <v>23804800000</v>
      </c>
      <c r="F10" s="8" t="s">
        <v>93</v>
      </c>
    </row>
    <row r="11" spans="1:6" x14ac:dyDescent="0.25">
      <c r="A11" t="s">
        <v>94</v>
      </c>
      <c r="B11" s="18">
        <v>3467000000</v>
      </c>
      <c r="C11" s="18">
        <v>3543200000</v>
      </c>
      <c r="D11" s="18">
        <v>3953000000</v>
      </c>
      <c r="E11" s="18">
        <v>3182900000</v>
      </c>
      <c r="F11" s="8" t="s">
        <v>95</v>
      </c>
    </row>
    <row r="12" spans="1:6" x14ac:dyDescent="0.25">
      <c r="A12" t="s">
        <v>32</v>
      </c>
      <c r="B12" s="34">
        <v>1139800000</v>
      </c>
      <c r="C12" s="34">
        <v>1137300000</v>
      </c>
      <c r="D12" s="34">
        <v>1151300000</v>
      </c>
      <c r="E12" s="34">
        <v>1158500000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