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<sst xmlns="http://schemas.openxmlformats.org/spreadsheetml/2006/main" count="121" uniqueCount="108">
  <si>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Starbucks Corporation (SBUX)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</si>
  <si>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</si>
  <si>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</si>
  <si>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</si>
  <si>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</si>
  <si>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</si>
  <si>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</si>
  <si>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</si>
  <si>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</si>
  <si>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</si>
  <si>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</si>
  <si>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</si>
  <si>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</si>
  <si>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</si>
  <si>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</si>
  <si>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</si>
  <si>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</si>
  <si>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</si>
  <si>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</si>
  <si>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</si>
  <si>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</si>
  <si>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</si>
  <si>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</si>
  <si>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</si>
  <si>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6.6x interest cover. Book interest / average debt was lower, at 2.1%.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</si>
  <si>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</si>
  <si>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</si>
  <si>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</si>
  <si>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</si>
  <si>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</si>
  <si>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</si>
  <si>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</si>
  <si>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</si>
  <si>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</si>
  <si>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</si>
  <si>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</si>
  <si>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</si>
  <si>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</si>
  <si>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</si>
  <si>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</si>
  <si>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</si>
  <si>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</si>
  <si>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</si>
  <si>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</si>
  <si>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</si>
  <si>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</si>
  <si>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</si>
  <si>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</si>
  <si>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</si>
  <si>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</si>
  <si>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</si>
  <si>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</si>
  <si>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</si>
  <si>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</si>
  <si>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</si>
  <si>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</si>
  <si>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</si>
  <si>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</si>
  <si>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</si>
  <si>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</si>
  <si>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</si>
  <si>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</si>
  <si>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</si>
  <si>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</si>
  <si>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</si>
  <si>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</si>
  <si>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</si>
  <si>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</si>
  <si>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</si>
  <si>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</si>
  <si>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</si>
  <si>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</si>
  <si>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</si>
  <si>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</si>
  <si>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</si>
  <si>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</si>
  <si>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</si>
  <si>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</si>
  <si>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</si>
  <si>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</si>
  <si>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</si>
  <si>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</si>
  <si>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</si>
  <si>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</si>
  <si>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</si>
  <si>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</si>
  <si>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</si>
  <si>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</si>
  <si>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</si>
  <si>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</si>
  <si>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</si>
  <si>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</si>
  <si>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</si>
  <si>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</si>
  <si>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</si>
  <si>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</si>
  <si>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</si>
  <si>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</si>
  <si>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</si>
  <si>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</si>
  <si>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</si>
  <si>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</si>
  <si>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</si>
  <si>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</si>
  <si>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</si>
  <si>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6.5% of revenue against depreciation of 4.5%.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</si>
  <si>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26.4x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</si>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</sst>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0.017762231204483614</v>
      </c>
    </row>
    <row r="7" spans="1:2" x14ac:dyDescent="0.25">
      <c r="A7" t="s">
        <v>4</v>
      </c>
      <c r="B7" s="5">
        <v>0.13195024086430346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0.044848771437780544</v>
      </c>
    </row>
    <row r="10" spans="1:3" x14ac:dyDescent="0.25">
      <c r="A10" t="s">
        <v>7</v>
      </c>
      <c r="B10" s="5">
        <v>0.06518475846476662</v>
      </c>
      <c r="C10" s="6" t="s">
        <v>8</v>
      </c>
    </row>
    <row r="11" spans="1:2" x14ac:dyDescent="0.25">
      <c r="A11" t="s">
        <v>9</v>
      </c>
      <c r="B11" s="5">
        <v>0.04175263171595421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0.5245766063470508</v>
      </c>
      <c r="C14" s="6" t="s">
        <v>13</v>
      </c>
    </row>
    <row r="15" spans="1:3" x14ac:dyDescent="0.25">
      <c r="A15" t="s">
        <v>14</v>
      </c>
      <c r="B15" s="5">
        <v>0.044848771437780544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0.98325</v>
      </c>
      <c r="C19" s="6" t="s">
        <v>21</v>
      </c>
    </row>
    <row r="20" spans="1:2" x14ac:dyDescent="0.25">
      <c r="A20" t="s">
        <v>22</v>
      </c>
      <c r="B20" s="9">
        <f>B17+B19*B18</f>
        <v>0.090531475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118194159616</v>
      </c>
    </row>
    <row r="23" spans="1:2" x14ac:dyDescent="0.25">
      <c r="A23" t="s">
        <v>26</v>
      </c>
      <c r="B23" s="10">
        <v>26611500000</v>
      </c>
    </row>
    <row r="24" spans="1:2" x14ac:dyDescent="0.25">
      <c r="A24" t="s">
        <v>27</v>
      </c>
      <c r="B24" s="9">
        <f>B22/(B22+B23)</f>
        <v>0.8162261055916655</v>
      </c>
    </row>
    <row r="25" spans="1:2" x14ac:dyDescent="0.25">
      <c r="A25" t="s">
        <v>28</v>
      </c>
      <c r="B25" s="9">
        <f>1-B24</f>
        <v>0.18377389440833447</v>
      </c>
    </row>
    <row r="26" spans="1:2" x14ac:dyDescent="0.25">
      <c r="A26" t="s">
        <v>29</v>
      </c>
      <c r="B26" s="11">
        <f>B24*B20+B25*B21*(1-B8)</f>
        <v>0.08179782741387512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37184400000</v>
      </c>
      <c r="C29" s="6" t="s">
        <v>32</v>
      </c>
    </row>
    <row r="30" spans="1:2" x14ac:dyDescent="0.25">
      <c r="A30" t="s">
        <v>33</v>
      </c>
      <c r="B30" s="10">
        <v>23144500000</v>
      </c>
    </row>
    <row r="31" spans="1:2" x14ac:dyDescent="0.25">
      <c r="A31" t="s">
        <v>34</v>
      </c>
      <c r="B31" s="12">
        <v>1139800000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0.017762231204483614</v>
      </c>
      <c r="C5" s="5">
        <v>0.041716709557222176</v>
      </c>
      <c r="D5" s="5">
        <v>0.03962712086256941</v>
      </c>
      <c r="E5" s="5">
        <v>0.03753753216791663</v>
      </c>
      <c r="F5" s="5">
        <v>0.03544794347326386</v>
      </c>
      <c r="G5" s="5">
        <v>0.033358354778611085</v>
      </c>
      <c r="H5" s="5">
        <v>0.031268766083958316</v>
      </c>
      <c r="I5" s="5">
        <v>0.029179177389305547</v>
      </c>
      <c r="J5" s="5">
        <v>0.027089588694652774</v>
      </c>
      <c r="K5" s="5">
        <v>0.025</v>
      </c>
    </row>
    <row r="6" spans="1:11" x14ac:dyDescent="0.25">
      <c r="A6" t="s">
        <v>50</v>
      </c>
      <c r="B6" s="18">
        <f>Assumptions!B29*(1+B5)</f>
        <v>37844877910</v>
      </c>
      <c r="C6" s="18">
        <f>B6*(1+C5)</f>
        <v>39423641690</v>
      </c>
      <c r="D6" s="18">
        <f>C6*(1+D5)</f>
        <v>40985887104.092255</v>
      </c>
      <c r="E6" s="18">
        <f>D6*(1+E5)</f>
        <v>42524396159.69271</v>
      </c>
      <c r="F6" s="18">
        <f>E6*(1+F5)</f>
        <v>44031798550.99618</v>
      </c>
      <c r="G6" s="18">
        <f>F6*(1+G5)</f>
        <v>45500626908.60065</v>
      </c>
      <c r="H6" s="18">
        <f>G6*(1+H5)</f>
        <v>46923375368.07914</v>
      </c>
      <c r="I6" s="18">
        <f>H6*(1+I5)</f>
        <v>48292560861.64929</v>
      </c>
      <c r="J6" s="18">
        <f>I6*(1+J5)</f>
        <v>49600786472.402855</v>
      </c>
      <c r="K6" s="18">
        <f>J6*(1+K5)</f>
        <v>50840806134.21292</v>
      </c>
    </row>
    <row r="7" spans="1:11" x14ac:dyDescent="0.25">
      <c r="A7" t="s">
        <v>4</v>
      </c>
      <c r="B7" s="9">
        <f>Assumptions!B7</f>
        <v>0.13195024086430346</v>
      </c>
      <c r="C7" s="9">
        <f>Assumptions!B7</f>
        <v>0.13195024086430346</v>
      </c>
      <c r="D7" s="9">
        <f>Assumptions!B7</f>
        <v>0.13195024086430346</v>
      </c>
      <c r="E7" s="9">
        <f>Assumptions!B7</f>
        <v>0.13195024086430346</v>
      </c>
      <c r="F7" s="9">
        <f>Assumptions!B7</f>
        <v>0.13195024086430346</v>
      </c>
      <c r="G7" s="9">
        <f>Assumptions!B7</f>
        <v>0.13195024086430346</v>
      </c>
      <c r="H7" s="9">
        <f>Assumptions!B7</f>
        <v>0.13195024086430346</v>
      </c>
      <c r="I7" s="9">
        <f>Assumptions!B7</f>
        <v>0.13195024086430346</v>
      </c>
      <c r="J7" s="9">
        <f>Assumptions!B7</f>
        <v>0.13195024086430346</v>
      </c>
      <c r="K7" s="9">
        <f>Assumptions!B7</f>
        <v>0.13195024086430346</v>
      </c>
    </row>
    <row r="8" spans="1:11" x14ac:dyDescent="0.25">
      <c r="A8" t="s">
        <v>51</v>
      </c>
      <c r="B8" s="18">
        <f>B6*B7</f>
        <v>4993640755.704658</v>
      </c>
      <c r="C8" s="18">
        <f>C6*C7</f>
        <v>5201959016.743495</v>
      </c>
      <c r="D8" s="18">
        <f>D6*D7</f>
        <v>5408097675.422122</v>
      </c>
      <c r="E8" s="18">
        <f>E6*E7</f>
        <v>5611104315.880514</v>
      </c>
      <c r="F8" s="18">
        <f>F6*F7</f>
        <v>5810006424.492434</v>
      </c>
      <c r="G8" s="18">
        <f>G6*G7</f>
        <v>6003818680.066663</v>
      </c>
      <c r="H8" s="18">
        <f>H6*H7</f>
        <v>6191550681.984166</v>
      </c>
      <c r="I8" s="18">
        <f>I6*I7</f>
        <v>6372215037.648658</v>
      </c>
      <c r="J8" s="18">
        <f>J6*J7</f>
        <v>6544835722.092442</v>
      </c>
      <c r="K8" s="18">
        <f>K6*K7</f>
        <v>6708456615.144752</v>
      </c>
    </row>
    <row r="9" spans="1:11" x14ac:dyDescent="0.25">
      <c r="A9" t="s">
        <v>52</v>
      </c>
      <c r="B9" s="18">
        <f>B8*(1-Assumptions!B8)</f>
        <v>3944976197.0066795</v>
      </c>
      <c r="C9" s="18">
        <f>C8*(1-Assumptions!B8)</f>
        <v>4109547623.227361</v>
      </c>
      <c r="D9" s="18">
        <f>D8*(1-Assumptions!B8)</f>
        <v>4272397163.5834765</v>
      </c>
      <c r="E9" s="18">
        <f>E8*(1-Assumptions!B8)</f>
        <v>4432772409.545607</v>
      </c>
      <c r="F9" s="18">
        <f>F8*(1-Assumptions!B8)</f>
        <v>4589905075.349023</v>
      </c>
      <c r="G9" s="18">
        <f>G8*(1-Assumptions!B8)</f>
        <v>4743016757.252664</v>
      </c>
      <c r="H9" s="18">
        <f>H8*(1-Assumptions!B8)</f>
        <v>4891325038.767491</v>
      </c>
      <c r="I9" s="18">
        <f>I8*(1-Assumptions!B8)</f>
        <v>5034049879.74244</v>
      </c>
      <c r="J9" s="18">
        <f>J8*(1-Assumptions!B8)</f>
        <v>5170420220.453029</v>
      </c>
      <c r="K9" s="18">
        <f>K8*(1-Assumptions!B8)</f>
        <v>5299680725.964354</v>
      </c>
    </row>
    <row r="10" spans="1:11" x14ac:dyDescent="0.25">
      <c r="A10" t="s">
        <v>53</v>
      </c>
      <c r="B10" s="18">
        <f>B6*Assumptions!B9</f>
        <v>1697296279.4762998</v>
      </c>
      <c r="C10" s="18">
        <f>C6*Assumptions!B9</f>
        <v>1768101895.3997662</v>
      </c>
      <c r="D10" s="18">
        <f>D6*Assumptions!B9</f>
        <v>1838166682.9061105</v>
      </c>
      <c r="E10" s="18">
        <f>E6*Assumptions!B9</f>
        <v>1907166923.8956912</v>
      </c>
      <c r="F10" s="18">
        <f>F6*Assumptions!B9</f>
        <v>1974772069.208024</v>
      </c>
      <c r="G10" s="18">
        <f>G6*Assumptions!B9</f>
        <v>2040647216.4995575</v>
      </c>
      <c r="H10" s="18">
        <f>H6*Assumptions!B9</f>
        <v>2104455736.9721627</v>
      </c>
      <c r="I10" s="18">
        <f>I6*Assumptions!B9</f>
        <v>2165862024.229215</v>
      </c>
      <c r="J10" s="18">
        <f>J6*Assumptions!B9</f>
        <v>2224534335.6349525</v>
      </c>
      <c r="K10" s="18">
        <f>K6*Assumptions!B9</f>
        <v>2280147694.0258265</v>
      </c>
    </row>
    <row r="11" spans="1:11" x14ac:dyDescent="0.25">
      <c r="A11" t="s">
        <v>54</v>
      </c>
      <c r="B11" s="18">
        <f>-B6*B19</f>
        <v>-2466909225.6919317</v>
      </c>
      <c r="C11" s="18">
        <f>-C6*C19</f>
        <v>-2502501897.425248</v>
      </c>
      <c r="D11" s="18">
        <f>-D6*D19</f>
        <v>-2531682533.802208</v>
      </c>
      <c r="E11" s="18">
        <f>-E6*E19</f>
        <v>-2554102226.265831</v>
      </c>
      <c r="F11" s="18">
        <f>-F6*F19</f>
        <v>-2569452479.0379376</v>
      </c>
      <c r="G11" s="18">
        <f>-G6*G19</f>
        <v>-2577469639.2674356</v>
      </c>
      <c r="H11" s="18">
        <f>-H6*H19</f>
        <v>-2577938943.4634686</v>
      </c>
      <c r="I11" s="18">
        <f>-I6*I19</f>
        <v>-2570698108.82391</v>
      </c>
      <c r="J11" s="18">
        <f>-J6*J19</f>
        <v>-2555640402.8763614</v>
      </c>
      <c r="K11" s="18">
        <f>-K6*K19</f>
        <v>-2532717131.0652175</v>
      </c>
    </row>
    <row r="12" spans="1:11" x14ac:dyDescent="0.25">
      <c r="A12" t="s">
        <v>55</v>
      </c>
      <c r="B12" s="18">
        <f>-(B6-Assumptions!B29)*Assumptions!B11</f>
        <v>-27576690.93275315</v>
      </c>
      <c r="C12" s="18">
        <f>-(C6-B6)*Assumptions!B11</f>
        <v>-65917542.67282776</v>
      </c>
      <c r="D12" s="18">
        <f>-(D6-C6)*Assumptions!B11</f>
        <v>-65227857.424532294</v>
      </c>
      <c r="E12" s="18">
        <f>-(E6-D6)*Assumptions!B11</f>
        <v>-64236801.99014637</v>
      </c>
      <c r="F12" s="18">
        <f>-(F6-E6)*Assumptions!B11</f>
        <v>-62938016.89184235</v>
      </c>
      <c r="G12" s="18">
        <f>-(G6-F6)*Assumptions!B11</f>
        <v>-61327449.469009295</v>
      </c>
      <c r="H12" s="18">
        <f>-(H6-G6)*Assumptions!B11</f>
        <v>-59403492.45304671</v>
      </c>
      <c r="I12" s="18">
        <f>-(I6-H6)*Assumptions!B11</f>
        <v>-57167097.66386156</v>
      </c>
      <c r="J12" s="18">
        <f>-(J6-I6)*Assumptions!B11</f>
        <v>-54621862.12717278</v>
      </c>
      <c r="K12" s="18">
        <f>-(K6-J6)*Assumptions!B11</f>
        <v>-51774084.26009779</v>
      </c>
    </row>
    <row r="13" spans="1:11" x14ac:dyDescent="0.25">
      <c r="A13" s="19" t="s">
        <v>56</v>
      </c>
      <c r="B13" s="20">
        <f>B9+B10+B11+B12</f>
        <v>3147786559.858294</v>
      </c>
      <c r="C13" s="20">
        <f>C9+C10+C11+C12</f>
        <v>3309230078.529052</v>
      </c>
      <c r="D13" s="20">
        <f>D9+D10+D11+D12</f>
        <v>3513653455.2628465</v>
      </c>
      <c r="E13" s="20">
        <f>E9+E10+E11+E12</f>
        <v>3721600305.1853204</v>
      </c>
      <c r="F13" s="20">
        <f>F9+F10+F11+F12</f>
        <v>3932286648.627267</v>
      </c>
      <c r="G13" s="20">
        <f>G9+G10+G11+G12</f>
        <v>4144866885.015776</v>
      </c>
      <c r="H13" s="20">
        <f>H9+H10+H11+H12</f>
        <v>4358438339.823139</v>
      </c>
      <c r="I13" s="20">
        <f>I9+I10+I11+I12</f>
        <v>4572046697.483884</v>
      </c>
      <c r="J13" s="20">
        <f>J9+J10+J11+J12</f>
        <v>4784692291.084448</v>
      </c>
      <c r="K13" s="20">
        <f>K9+K10+K11+K12</f>
        <v>4995337204.6648655</v>
      </c>
    </row>
    <row r="14" spans="1:11" x14ac:dyDescent="0.25">
      <c r="A14" t="s">
        <v>57</v>
      </c>
      <c r="B14" s="21">
        <f>1/(1+Assumptions!$B$26)^(1-0.5*Assumptions!$B$32)</f>
        <v>0.9614505396738385</v>
      </c>
      <c r="C14" s="21">
        <f>1/(1+Assumptions!$B$26)^(2-0.5*Assumptions!$B$32)</f>
        <v>0.8887525148504537</v>
      </c>
      <c r="D14" s="21">
        <f>1/(1+Assumptions!$B$26)^(3-0.5*Assumptions!$B$32)</f>
        <v>0.8215513955829327</v>
      </c>
      <c r="E14" s="21">
        <f>1/(1+Assumptions!$B$26)^(4-0.5*Assumptions!$B$32)</f>
        <v>0.7594315451223613</v>
      </c>
      <c r="F14" s="21">
        <f>1/(1+Assumptions!$B$26)^(5-0.5*Assumptions!$B$32)</f>
        <v>0.7020087542030322</v>
      </c>
      <c r="G14" s="21">
        <f>1/(1+Assumptions!$B$26)^(6-0.5*Assumptions!$B$32)</f>
        <v>0.648927864720565</v>
      </c>
      <c r="H14" s="21">
        <f>1/(1+Assumptions!$B$26)^(7-0.5*Assumptions!$B$32)</f>
        <v>0.5998605730905185</v>
      </c>
      <c r="I14" s="21">
        <f>1/(1+Assumptions!$B$26)^(8-0.5*Assumptions!$B$32)</f>
        <v>0.5545033997013412</v>
      </c>
      <c r="J14" s="21">
        <f>1/(1+Assumptions!$B$26)^(9-0.5*Assumptions!$B$32)</f>
        <v>0.5125758119027899</v>
      </c>
      <c r="K14" s="21">
        <f>1/(1+Assumptions!$B$26)^(10-0.5*Assumptions!$B$32)</f>
        <v>0.4738184889205626</v>
      </c>
    </row>
    <row r="15" spans="1:11" x14ac:dyDescent="0.25">
      <c r="A15" s="19" t="s">
        <v>58</v>
      </c>
      <c r="B15" s="20">
        <f>B13*B14</f>
        <v>3026441086.7538123</v>
      </c>
      <c r="C15" s="20">
        <f>C13*C14</f>
        <v>2941086554.5114594</v>
      </c>
      <c r="D15" s="20">
        <f>D13*D14</f>
        <v>2886646899.765985</v>
      </c>
      <c r="E15" s="20">
        <f>E13*E14</f>
        <v>2826300670.0947394</v>
      </c>
      <c r="F15" s="20">
        <f>F13*F14</f>
        <v>2760499651.372044</v>
      </c>
      <c r="G15" s="20">
        <f>G13*G14</f>
        <v>2689719617.244267</v>
      </c>
      <c r="H15" s="20">
        <f>H13*H14</f>
        <v>2614455320.3059964</v>
      </c>
      <c r="I15" s="20">
        <f>I13*I14</f>
        <v>2535215437.348103</v>
      </c>
      <c r="J15" s="20">
        <f>J13*J14</f>
        <v>2452517535.8076305</v>
      </c>
      <c r="K15" s="20">
        <f>K13*K14</f>
        <v>2366883125.9629736</v>
      </c>
    </row>
    <row r="17" spans="1:2" x14ac:dyDescent="0.25">
      <c r="A17" s="22" t="s">
        <v>59</v>
      </c>
      <c r="B17" s="23">
        <f>SUM(B15:K15)</f>
        <v>27099765899.167015</v>
      </c>
    </row>
    <row r="19" spans="1:11" x14ac:dyDescent="0.25">
      <c r="A19" t="s">
        <v>7</v>
      </c>
      <c r="B19" s="9">
        <f>Assumptions!$B$10+($B$20-Assumptions!$B$10)*0/9</f>
        <v>0.06518475846476662</v>
      </c>
      <c r="C19" s="9">
        <f>Assumptions!$B$10+($B$20-Assumptions!$B$10)*1/9</f>
        <v>0.06347718754911523</v>
      </c>
      <c r="D19" s="9">
        <f>Assumptions!$B$10+($B$20-Assumptions!$B$10)*2/9</f>
        <v>0.061769616633463836</v>
      </c>
      <c r="E19" s="9">
        <f>Assumptions!$B$10+($B$20-Assumptions!$B$10)*3/9</f>
        <v>0.060062045717812436</v>
      </c>
      <c r="F19" s="9">
        <f>Assumptions!$B$10+($B$20-Assumptions!$B$10)*4/9</f>
        <v>0.05835447480216104</v>
      </c>
      <c r="G19" s="9">
        <f>Assumptions!$B$10+($B$20-Assumptions!$B$10)*5/9</f>
        <v>0.05664690388650965</v>
      </c>
      <c r="H19" s="9">
        <f>Assumptions!$B$10+($B$20-Assumptions!$B$10)*6/9</f>
        <v>0.054939332970858255</v>
      </c>
      <c r="I19" s="9">
        <f>Assumptions!$B$10+($B$20-Assumptions!$B$10)*7/9</f>
        <v>0.053231762055206855</v>
      </c>
      <c r="J19" s="9">
        <f>Assumptions!$B$10+($B$20-Assumptions!$B$10)*8/9</f>
        <v>0.05152419113955546</v>
      </c>
      <c r="K19" s="9">
        <f>Assumptions!$B$10+($B$20-Assumptions!$B$10)*9/9</f>
        <v>0.04981662022390407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0.04981662022390407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4995337204.6648655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5299680725.964354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0.04765748166714936</v>
      </c>
    </row>
    <row r="7" spans="1:2" x14ac:dyDescent="0.25">
      <c r="A7" t="s">
        <v>66</v>
      </c>
      <c r="B7" s="18">
        <f>-MAX(B5,0)*B6</f>
        <v>-252569437.03939098</v>
      </c>
    </row>
    <row r="8" spans="1:2" x14ac:dyDescent="0.25">
      <c r="A8" t="s">
        <v>67</v>
      </c>
      <c r="B8" s="18">
        <f>IF(OR(Assumptions!$B$33=0,Assumptions!B12&lt;=0),B5,MAX(B5+B7,0))</f>
        <v>5047111288.924963</v>
      </c>
    </row>
    <row r="9" spans="1:2" x14ac:dyDescent="0.25">
      <c r="A9" t="s">
        <v>68</v>
      </c>
      <c r="B9" s="18">
        <f>B8*(1+Assumptions!B12)/(Assumptions!B26-Assumptions!B12)</f>
        <v>91082516826.76697</v>
      </c>
    </row>
    <row r="10" spans="1:2" x14ac:dyDescent="0.25">
      <c r="A10" t="s">
        <v>69</v>
      </c>
      <c r="B10" s="18">
        <f>B9/(1+Assumptions!B26)^(10-0.5*Assumptions!B32)</f>
        <v>43156580489.940445</v>
      </c>
    </row>
    <row r="11" spans="1:2" x14ac:dyDescent="0.25">
      <c r="A11" t="s">
        <v>70</v>
      </c>
      <c r="B11" s="18">
        <f>Forecast!B17+B10</f>
        <v>70256346389.10745</v>
      </c>
    </row>
    <row r="12" spans="1:2" x14ac:dyDescent="0.25">
      <c r="A12" t="s">
        <v>71</v>
      </c>
      <c r="B12" s="18">
        <f>-Assumptions!B30</f>
        <v>-23144500000</v>
      </c>
    </row>
    <row r="13" spans="1:2" x14ac:dyDescent="0.25">
      <c r="A13" t="s">
        <v>72</v>
      </c>
      <c r="B13" s="18">
        <f>B11+B12</f>
        <v>47111846389.10745</v>
      </c>
    </row>
    <row r="14" spans="1:2" x14ac:dyDescent="0.25">
      <c r="A14" s="19" t="s">
        <v>73</v>
      </c>
      <c r="B14" s="24">
        <f>B13/Assumptions!B31</f>
        <v>41.333432522466616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8988604309.170578</v>
      </c>
    </row>
    <row r="18" spans="1:2" x14ac:dyDescent="0.25">
      <c r="A18" t="s">
        <v>68</v>
      </c>
      <c r="B18" s="18">
        <f>B17*Assumptions!B13</f>
        <v>179772086183.41156</v>
      </c>
    </row>
    <row r="19" spans="1:2" x14ac:dyDescent="0.25">
      <c r="A19" t="s">
        <v>69</v>
      </c>
      <c r="B19" s="18">
        <f>B18/(1+Assumptions!B26)^(10-0.5*Assumptions!B32)</f>
        <v>85179338225.52121</v>
      </c>
    </row>
    <row r="20" spans="1:2" x14ac:dyDescent="0.25">
      <c r="A20" t="s">
        <v>70</v>
      </c>
      <c r="B20" s="18">
        <f>Forecast!B17+B19</f>
        <v>112279104124.68823</v>
      </c>
    </row>
    <row r="21" spans="1:2" x14ac:dyDescent="0.25">
      <c r="A21" t="s">
        <v>71</v>
      </c>
      <c r="B21" s="18">
        <f>-Assumptions!B30</f>
        <v>-23144500000</v>
      </c>
    </row>
    <row r="22" spans="1:2" x14ac:dyDescent="0.25">
      <c r="A22" t="s">
        <v>72</v>
      </c>
      <c r="B22" s="18">
        <f>B20+B21</f>
        <v>89134604124.68823</v>
      </c>
    </row>
    <row r="23" spans="1:2" x14ac:dyDescent="0.25">
      <c r="A23" s="19" t="s">
        <v>73</v>
      </c>
      <c r="B23" s="25">
        <f>B22/Assumptions!B31</f>
        <v>78.20196887584508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103.67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41.333432522466616</v>
      </c>
    </row>
    <row r="29" spans="1:2" x14ac:dyDescent="0.25">
      <c r="A29" s="19" t="s">
        <v>81</v>
      </c>
      <c r="B29" s="11">
        <f>B28/B26-1</f>
        <v>-0.6012980368238968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0.061798</v>
      </c>
      <c r="B5" s="31">
        <v>61.41925355035006</v>
      </c>
      <c r="C5" s="31">
        <v>67.60580703666876</v>
      </c>
      <c r="D5" s="31">
        <v>75.50392091643995</v>
      </c>
      <c r="E5" s="31">
        <v>85.9209857771781</v>
      </c>
      <c r="F5" s="31">
        <v>100.26696746389055</v>
      </c>
    </row>
    <row r="6" spans="1:6" x14ac:dyDescent="0.25">
      <c r="A6" s="30">
        <v>0.071798</v>
      </c>
      <c r="B6" s="31">
        <v>46.58708426169072</v>
      </c>
      <c r="C6" s="31">
        <v>50.26480321463104</v>
      </c>
      <c r="D6" s="31">
        <v>54.7509377950742</v>
      </c>
      <c r="E6" s="31">
        <v>60.335603185864926</v>
      </c>
      <c r="F6" s="31">
        <v>67.46659443443008</v>
      </c>
    </row>
    <row r="7" spans="1:6" x14ac:dyDescent="0.25">
      <c r="A7" s="30">
        <v>0.081798</v>
      </c>
      <c r="B7" s="31">
        <v>36.23057244865086</v>
      </c>
      <c r="C7" s="31">
        <v>38.56740815011101</v>
      </c>
      <c r="D7" s="32">
        <v>41.33324194761617</v>
      </c>
      <c r="E7" s="31">
        <v>44.65230588565988</v>
      </c>
      <c r="F7" s="31">
        <v>48.70192489496732</v>
      </c>
    </row>
    <row r="8" spans="1:6" x14ac:dyDescent="0.25">
      <c r="A8" s="30">
        <v>0.091798</v>
      </c>
      <c r="B8" s="31">
        <v>28.598999979173186</v>
      </c>
      <c r="C8" s="31">
        <v>30.153369356669373</v>
      </c>
      <c r="D8" s="31">
        <v>31.954577123823686</v>
      </c>
      <c r="E8" s="31">
        <v>34.06253745010555</v>
      </c>
      <c r="F8" s="31">
        <v>36.558261786392016</v>
      </c>
    </row>
    <row r="9" spans="1:6" x14ac:dyDescent="0.25">
      <c r="A9" s="30">
        <v>0.101798</v>
      </c>
      <c r="B9" s="31">
        <v>22.748636569642528</v>
      </c>
      <c r="C9" s="31">
        <v>23.8167875782709</v>
      </c>
      <c r="D9" s="31">
        <v>25.035677715760148</v>
      </c>
      <c r="E9" s="31">
        <v>26.436799320795373</v>
      </c>
      <c r="F9" s="31">
        <v>28.06107385828858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37184400000</v>
      </c>
      <c r="C5" s="18">
        <v>36176200000</v>
      </c>
      <c r="D5" s="18">
        <v>35975600000</v>
      </c>
      <c r="E5" s="18">
        <v>32250300000</v>
      </c>
      <c r="F5" s="6" t="s">
        <v>91</v>
      </c>
    </row>
    <row r="6" spans="1:6" x14ac:dyDescent="0.25">
      <c r="A6" t="s">
        <v>51</v>
      </c>
      <c r="B6" s="18">
        <v>3580800000</v>
      </c>
      <c r="C6" s="18">
        <v>5107600000</v>
      </c>
      <c r="D6" s="18">
        <v>5502900000</v>
      </c>
      <c r="E6" s="18">
        <v>4429700000</v>
      </c>
      <c r="F6" s="6" t="s">
        <v>92</v>
      </c>
    </row>
    <row r="7" spans="1:6" x14ac:dyDescent="0.25">
      <c r="A7" t="s">
        <v>93</v>
      </c>
      <c r="B7" s="18">
        <v>1771500000</v>
      </c>
      <c r="C7" s="18">
        <v>1592400000</v>
      </c>
      <c r="D7" s="18">
        <v>1450300000</v>
      </c>
      <c r="E7" s="18">
        <v>1529400000</v>
      </c>
      <c r="F7" s="6" t="s">
        <v>94</v>
      </c>
    </row>
    <row r="8" spans="1:6" x14ac:dyDescent="0.25">
      <c r="A8" t="s">
        <v>95</v>
      </c>
      <c r="B8" s="18">
        <v>2305500000</v>
      </c>
      <c r="C8" s="18">
        <v>2777500000</v>
      </c>
      <c r="D8" s="18">
        <v>2333600000</v>
      </c>
      <c r="E8" s="18">
        <v>1841300000</v>
      </c>
      <c r="F8" s="6" t="s">
        <v>96</v>
      </c>
    </row>
    <row r="9" spans="1:6" x14ac:dyDescent="0.25">
      <c r="A9" t="s">
        <v>97</v>
      </c>
      <c r="B9" s="18">
        <v>1494400000</v>
      </c>
      <c r="C9" s="18">
        <v>1048800000</v>
      </c>
      <c r="D9" s="18">
        <v>1133400000</v>
      </c>
      <c r="E9" s="18">
        <v>2133000000</v>
      </c>
      <c r="F9" s="6" t="s">
        <v>98</v>
      </c>
    </row>
    <row r="10" spans="1:6" x14ac:dyDescent="0.25">
      <c r="A10" t="s">
        <v>99</v>
      </c>
      <c r="B10" s="18">
        <v>26611500000</v>
      </c>
      <c r="C10" s="18">
        <v>25803100000</v>
      </c>
      <c r="D10" s="18">
        <v>24599800000</v>
      </c>
      <c r="E10" s="18">
        <v>23804800000</v>
      </c>
      <c r="F10" s="6" t="s">
        <v>100</v>
      </c>
    </row>
    <row r="11" spans="1:6" x14ac:dyDescent="0.25">
      <c r="A11" t="s">
        <v>101</v>
      </c>
      <c r="B11" s="18">
        <v>3467000000</v>
      </c>
      <c r="C11" s="18">
        <v>3543200000</v>
      </c>
      <c r="D11" s="18">
        <v>3953000000</v>
      </c>
      <c r="E11" s="18">
        <v>3182900000</v>
      </c>
      <c r="F11" s="6" t="s">
        <v>102</v>
      </c>
    </row>
    <row r="12" spans="1:6" x14ac:dyDescent="0.25">
      <c r="A12" t="s">
        <v>34</v>
      </c>
      <c r="B12" s="34">
        <v>1139800000</v>
      </c>
      <c r="C12" s="34">
        <v>1137300000</v>
      </c>
      <c r="D12" s="34">
        <v>1151300000</v>
      </c>
      <c r="E12" s="34">
        <v>1158500000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