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<sst xmlns="http://schemas.openxmlformats.org/spreadsheetml/2006/main" count="113" uniqueCount="101">
  <si>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Scentre Group (SCG.AX)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</si>
  <si>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</si>
  <si>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</si>
  <si>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</si>
  <si>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</si>
  <si>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</si>
  <si>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</si>
  <si>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</si>
  <si>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</si>
  <si>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</si>
  <si>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</si>
  <si>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</si>
  <si>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</si>
  <si>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</si>
  <si>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</si>
  <si>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</si>
  <si>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</si>
  <si>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</si>
  <si>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</si>
  <si>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</si>
  <si>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</si>
  <si>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</si>
  <si>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</si>
  <si>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</si>
  <si>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</si>
  <si>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</si>
  <si>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</si>
  <si>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</si>
  <si>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</si>
  <si>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</si>
  <si>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2025-12-31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</si>
  <si>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</si>
  <si>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</si>
  <si>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</si>
  <si>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</si>
  <si>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</si>
  <si>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</si>
  <si>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</si>
  <si>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</si>
  <si>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</si>
  <si>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</si>
  <si>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</si>
  <si>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</si>
  <si>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</si>
  <si>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</si>
  <si>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</si>
  <si>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</si>
  <si>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</si>
  <si>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</si>
  <si>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</si>
  <si>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</si>
  <si>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</si>
  <si>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</si>
  <si>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</si>
  <si>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</si>
  <si>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</si>
  <si>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</si>
  <si>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</si>
  <si>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</si>
  <si>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</si>
  <si>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</si>
  <si>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</si>
  <si>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</si>
  <si>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</si>
  <si>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</si>
  <si>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</si>
  <si>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</si>
  <si>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</si>
  <si>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</si>
  <si>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</si>
  <si>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</si>
  <si>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</si>
  <si>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</si>
  <si>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</si>
  <si>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</si>
  <si>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</si>
  <si>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</si>
  <si>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</si>
  <si>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</si>
  <si>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</si>
  <si>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</si>
  <si>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</si>
  <si>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</si>
  <si>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</si>
  <si>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</si>
  <si>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</si>
  <si>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</si>
  <si>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</si>
  <si>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</si>
  <si>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</si>
  <si>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</si>
  <si>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</si>
  <si>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</si>
  <si>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</si>
  <si>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</si>
  <si>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</si>
  <si>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</si>
  <si>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</si>
  <si>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</si>
  <si>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Capital expenditure runs at 8.9% of revenue against depreciation of 0.5%.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</si>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</sst>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0.029895973331707903</v>
      </c>
    </row>
    <row r="7" spans="1:2" x14ac:dyDescent="0.25">
      <c r="A7" t="s">
        <v>5</v>
      </c>
      <c r="B7" s="6">
        <v>0.6518024476594486</v>
      </c>
    </row>
    <row r="8" spans="1:2" x14ac:dyDescent="0.25">
      <c r="A8" t="s">
        <v>6</v>
      </c>
      <c r="B8" s="6">
        <v>0.048063167645782764</v>
      </c>
    </row>
    <row r="9" spans="1:2" x14ac:dyDescent="0.25">
      <c r="A9" t="s">
        <v>7</v>
      </c>
      <c r="B9" s="6">
        <v>0.005258385196605756</v>
      </c>
    </row>
    <row r="10" spans="1:2" x14ac:dyDescent="0.25">
      <c r="A10" t="s">
        <v>8</v>
      </c>
      <c r="B10" s="6">
        <v>0.08905175569504745</v>
      </c>
    </row>
    <row r="11" spans="1:2" x14ac:dyDescent="0.25">
      <c r="A11" t="s">
        <v>9</v>
      </c>
      <c r="B11" s="6">
        <v>0.2200315457413249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17.89015325110132</v>
      </c>
    </row>
    <row r="14" spans="1:3" x14ac:dyDescent="0.25">
      <c r="A14" t="s">
        <v>12</v>
      </c>
      <c r="B14" s="6">
        <v>0.08230597129725127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0.91759</v>
      </c>
      <c r="C19" s="8" t="s">
        <v>19</v>
      </c>
    </row>
    <row r="20" spans="1:2" x14ac:dyDescent="0.25">
      <c r="A20" t="s">
        <v>20</v>
      </c>
      <c r="B20" s="10">
        <f>B17+B19*B18</f>
        <v>0.1085354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17989218304</v>
      </c>
    </row>
    <row r="23" spans="1:2" x14ac:dyDescent="0.25">
      <c r="A23" t="s">
        <v>24</v>
      </c>
      <c r="B23" s="11">
        <v>15028700000</v>
      </c>
    </row>
    <row r="24" spans="1:2" x14ac:dyDescent="0.25">
      <c r="A24" t="s">
        <v>25</v>
      </c>
      <c r="B24" s="10">
        <f>B22/(B22+B23)</f>
        <v>0.5448319951115959</v>
      </c>
    </row>
    <row r="25" spans="1:2" x14ac:dyDescent="0.25">
      <c r="A25" t="s">
        <v>26</v>
      </c>
      <c r="B25" s="10">
        <f>1-B24</f>
        <v>0.45516800488840414</v>
      </c>
    </row>
    <row r="26" spans="1:2" x14ac:dyDescent="0.25">
      <c r="A26" t="s">
        <v>27</v>
      </c>
      <c r="B26" s="12">
        <f>B24*B20+B25*B21*(1-B8)</f>
        <v>0.08230597129725127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2685000000</v>
      </c>
      <c r="C29" s="8" t="s">
        <v>30</v>
      </c>
    </row>
    <row r="30" spans="1:2" x14ac:dyDescent="0.25">
      <c r="A30" t="s">
        <v>31</v>
      </c>
      <c r="B30" s="11">
        <v>14499300000</v>
      </c>
    </row>
    <row r="31" spans="1:2" x14ac:dyDescent="0.25">
      <c r="A31" t="s">
        <v>32</v>
      </c>
      <c r="B31" s="13">
        <v>5229344310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0.029895973331707903</v>
      </c>
      <c r="C5" s="10">
        <f>Assumptions!B6</f>
        <v>0.029895973331707903</v>
      </c>
      <c r="D5" s="10">
        <f>Assumptions!B6</f>
        <v>0.029895973331707903</v>
      </c>
      <c r="E5" s="10">
        <f>Assumptions!B6</f>
        <v>0.029895973331707903</v>
      </c>
      <c r="F5" s="10">
        <f>Assumptions!B6</f>
        <v>0.029895973331707903</v>
      </c>
    </row>
    <row r="6" spans="1:6" x14ac:dyDescent="0.25">
      <c r="A6" t="s">
        <v>43</v>
      </c>
      <c r="B6" s="18">
        <f>Assumptions!B29*(1+B5)</f>
        <v>2765270688.3956356</v>
      </c>
      <c r="C6" s="18">
        <f>B6*(1+C5)</f>
        <v>2847941147.150865</v>
      </c>
      <c r="D6" s="18">
        <f>C6*(1+D5)</f>
        <v>2933083119.736361</v>
      </c>
      <c r="E6" s="18">
        <f>D6*(1+E5)</f>
        <v>3020770494.4636817</v>
      </c>
      <c r="F6" s="18">
        <f>E6*(1+F5)</f>
        <v>3111079368.607378</v>
      </c>
    </row>
    <row r="7" spans="1:6" x14ac:dyDescent="0.25">
      <c r="A7" t="s">
        <v>5</v>
      </c>
      <c r="B7" s="10">
        <f>Assumptions!B7</f>
        <v>0.6518024476594486</v>
      </c>
      <c r="C7" s="10">
        <f>Assumptions!B7</f>
        <v>0.6518024476594486</v>
      </c>
      <c r="D7" s="10">
        <f>Assumptions!B7</f>
        <v>0.6518024476594486</v>
      </c>
      <c r="E7" s="10">
        <f>Assumptions!B7</f>
        <v>0.6518024476594486</v>
      </c>
      <c r="F7" s="10">
        <f>Assumptions!B7</f>
        <v>0.6518024476594486</v>
      </c>
    </row>
    <row r="8" spans="1:6" x14ac:dyDescent="0.25">
      <c r="A8" t="s">
        <v>44</v>
      </c>
      <c r="B8" s="18">
        <f>B6*B7</f>
        <v>1802410203.1372037</v>
      </c>
      <c r="C8" s="18">
        <f>C6*C7</f>
        <v>1856295010.5029917</v>
      </c>
      <c r="D8" s="18">
        <f>D6*D7</f>
        <v>1911790756.6327717</v>
      </c>
      <c r="E8" s="18">
        <f>E6*E7</f>
        <v>1968945602.1088705</v>
      </c>
      <c r="F8" s="18">
        <f>F6*F7</f>
        <v>2027809147.321101</v>
      </c>
    </row>
    <row r="9" spans="1:6" x14ac:dyDescent="0.25">
      <c r="A9" t="s">
        <v>45</v>
      </c>
      <c r="B9" s="18">
        <f>B8*(1-Assumptions!B8)</f>
        <v>1715780659.3773508</v>
      </c>
      <c r="C9" s="18">
        <f>C8*(1-Assumptions!B8)</f>
        <v>1767075592.2131562</v>
      </c>
      <c r="D9" s="18">
        <f>D8*(1-Assumptions!B8)</f>
        <v>1819904036.993073</v>
      </c>
      <c r="E9" s="18">
        <f>E8*(1-Assumptions!B8)</f>
        <v>1874311839.5492852</v>
      </c>
      <c r="F9" s="18">
        <f>F8*(1-Assumptions!B8)</f>
        <v>1930346216.319755</v>
      </c>
    </row>
    <row r="10" spans="1:6" x14ac:dyDescent="0.25">
      <c r="A10" t="s">
        <v>46</v>
      </c>
      <c r="B10" s="18">
        <f>B6*Assumptions!B9</f>
        <v>14540858.45246742</v>
      </c>
      <c r="C10" s="18">
        <f>C6*Assumptions!B9</f>
        <v>14975571.568982523</v>
      </c>
      <c r="D10" s="18">
        <f>D6*Assumptions!B9</f>
        <v>15423280.857235909</v>
      </c>
      <c r="E10" s="18">
        <f>E6*Assumptions!B9</f>
        <v>15884374.850431273</v>
      </c>
      <c r="F10" s="18">
        <f>F6*Assumptions!B9</f>
        <v>16359253.69735062</v>
      </c>
    </row>
    <row r="11" spans="1:6" x14ac:dyDescent="0.25">
      <c r="A11" t="s">
        <v>47</v>
      </c>
      <c r="B11" s="18">
        <f>-B6*Assumptions!B10</f>
        <v>-246252209.77368382</v>
      </c>
      <c r="C11" s="18">
        <f>-C6*Assumptions!B10</f>
        <v>-253614159.269952</v>
      </c>
      <c r="D11" s="18">
        <f>-D6*Assumptions!B10</f>
        <v>-261196201.41203</v>
      </c>
      <c r="E11" s="18">
        <f>-E6*Assumptions!B10</f>
        <v>-269004916.08378744</v>
      </c>
      <c r="F11" s="18">
        <f>-F6*Assumptions!B10</f>
        <v>-277047079.8811267</v>
      </c>
    </row>
    <row r="12" spans="1:6" x14ac:dyDescent="0.25">
      <c r="A12" t="s">
        <v>48</v>
      </c>
      <c r="B12" s="18">
        <f>-(B6-Assumptions!B29)*Assumptions!B11</f>
        <v>-17662083.645411935</v>
      </c>
      <c r="C12" s="18">
        <f>-(C6-B6)*Assumptions!B11</f>
        <v>-18190108.82705759</v>
      </c>
      <c r="D12" s="18">
        <f>-(D6-C6)*Assumptions!B11</f>
        <v>-18733919.835452184</v>
      </c>
      <c r="E12" s="18">
        <f>-(E6-D6)*Assumptions!B11</f>
        <v>-19293988.603251155</v>
      </c>
      <c r="F12" s="18">
        <f>-(F6-E6)*Assumptions!B11</f>
        <v>-19870801.17199627</v>
      </c>
    </row>
    <row r="13" spans="1:6" x14ac:dyDescent="0.25">
      <c r="A13" s="19" t="s">
        <v>49</v>
      </c>
      <c r="B13" s="20">
        <f>B9+B10+B11+B12</f>
        <v>1466407224.4107225</v>
      </c>
      <c r="C13" s="20">
        <f>C9+C10+C11+C12</f>
        <v>1510246895.6851292</v>
      </c>
      <c r="D13" s="20">
        <f>D9+D10+D11+D12</f>
        <v>1555397196.6028268</v>
      </c>
      <c r="E13" s="20">
        <f>E9+E10+E11+E12</f>
        <v>1601897309.7126777</v>
      </c>
      <c r="F13" s="20">
        <f>F9+F10+F11+F12</f>
        <v>1649787588.9639826</v>
      </c>
    </row>
    <row r="14" spans="1:6" x14ac:dyDescent="0.25">
      <c r="A14" t="s">
        <v>50</v>
      </c>
      <c r="B14" s="21">
        <f>1/(1+Assumptions!$B$26)^(1-0.5*Assumptions!$B$32)</f>
        <v>0.9612248121154426</v>
      </c>
      <c r="C14" s="21">
        <f>1/(1+Assumptions!$B$26)^(2-0.5*Assumptions!$B$32)</f>
        <v>0.888126682848584</v>
      </c>
      <c r="D14" s="21">
        <f>1/(1+Assumptions!$B$26)^(3-0.5*Assumptions!$B$32)</f>
        <v>0.8205874368262756</v>
      </c>
      <c r="E14" s="21">
        <f>1/(1+Assumptions!$B$26)^(4-0.5*Assumptions!$B$32)</f>
        <v>0.7581843384294737</v>
      </c>
      <c r="F14" s="21">
        <f>1/(1+Assumptions!$B$26)^(5-0.5*Assumptions!$B$32)</f>
        <v>0.7005267997558162</v>
      </c>
    </row>
    <row r="15" spans="1:6" x14ac:dyDescent="0.25">
      <c r="A15" s="19" t="s">
        <v>51</v>
      </c>
      <c r="B15" s="20">
        <f>B13*B14</f>
        <v>1409547008.7689245</v>
      </c>
      <c r="C15" s="20">
        <f>C13*C14</f>
        <v>1341290565.7472053</v>
      </c>
      <c r="D15" s="20">
        <f>D13*D14</f>
        <v>1276339398.8070884</v>
      </c>
      <c r="E15" s="20">
        <f>E13*E14</f>
        <v>1214533451.9964604</v>
      </c>
      <c r="F15" s="20">
        <f>F13*F14</f>
        <v>1155720419.9738026</v>
      </c>
    </row>
    <row r="17" spans="1:2" x14ac:dyDescent="0.25">
      <c r="A17" s="22" t="s">
        <v>52</v>
      </c>
      <c r="B17" s="23">
        <f>SUM(B15:F15)</f>
        <v>6397430845.293481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1649787588.9639826</v>
      </c>
    </row>
    <row r="5" spans="1:2" x14ac:dyDescent="0.25">
      <c r="A5" t="s">
        <v>56</v>
      </c>
      <c r="B5" s="18">
        <f>IF(Assumptions!$B$33=0,B4,B4-Forecast!F11-Forecast!F10-Forecast!F12)</f>
        <v>1930346216.319755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0.3037446688978557</v>
      </c>
    </row>
    <row r="7" spans="1:2" x14ac:dyDescent="0.25">
      <c r="A7" t="s">
        <v>58</v>
      </c>
      <c r="B7" s="18">
        <f>-MAX(Forecast!F9,0)*B6</f>
        <v>-586332372.3342725</v>
      </c>
    </row>
    <row r="8" spans="1:2" x14ac:dyDescent="0.25">
      <c r="A8" t="s">
        <v>59</v>
      </c>
      <c r="B8" s="18">
        <f>IF(OR(Assumptions!$B$33=0,Assumptions!B12&lt;=0),B5,MAX(B5+B7,0))</f>
        <v>1344013843.9854827</v>
      </c>
    </row>
    <row r="9" spans="1:2" x14ac:dyDescent="0.25">
      <c r="A9" t="s">
        <v>60</v>
      </c>
      <c r="B9" s="18">
        <f>B8*(1+Assumptions!B12)/(Assumptions!B26-Assumptions!B12)</f>
        <v>24039627265.705173</v>
      </c>
    </row>
    <row r="10" spans="1:2" x14ac:dyDescent="0.25">
      <c r="A10" t="s">
        <v>61</v>
      </c>
      <c r="B10" s="18">
        <f>B9/(1+Assumptions!B26)^(5-0.5*Assumptions!B32)</f>
        <v>16840403155.767107</v>
      </c>
    </row>
    <row r="11" spans="1:2" x14ac:dyDescent="0.25">
      <c r="A11" t="s">
        <v>62</v>
      </c>
      <c r="B11" s="18">
        <f>Forecast!B17+B10</f>
        <v>23237834001.06059</v>
      </c>
    </row>
    <row r="12" spans="1:2" x14ac:dyDescent="0.25">
      <c r="A12" t="s">
        <v>63</v>
      </c>
      <c r="B12" s="18">
        <f>-Assumptions!B30</f>
        <v>-14499300000</v>
      </c>
    </row>
    <row r="13" spans="1:2" x14ac:dyDescent="0.25">
      <c r="A13" t="s">
        <v>64</v>
      </c>
      <c r="B13" s="18">
        <f>B11+B12</f>
        <v>8738534001.060589</v>
      </c>
    </row>
    <row r="14" spans="1:2" x14ac:dyDescent="0.25">
      <c r="A14" s="19" t="s">
        <v>65</v>
      </c>
      <c r="B14" s="24">
        <f>B13/Assumptions!B31</f>
        <v>1.6710573033697582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2044168401.0184515</v>
      </c>
    </row>
    <row r="18" spans="1:2" x14ac:dyDescent="0.25">
      <c r="A18" t="s">
        <v>60</v>
      </c>
      <c r="B18" s="18">
        <f>B17*Assumptions!B13</f>
        <v>36570485965.27884</v>
      </c>
    </row>
    <row r="19" spans="1:2" x14ac:dyDescent="0.25">
      <c r="A19" t="s">
        <v>61</v>
      </c>
      <c r="B19" s="18">
        <f>B18/(1+Assumptions!B26)^(5-0.5*Assumptions!B32)</f>
        <v>25618605498.77178</v>
      </c>
    </row>
    <row r="20" spans="1:2" x14ac:dyDescent="0.25">
      <c r="A20" t="s">
        <v>62</v>
      </c>
      <c r="B20" s="18">
        <f>Forecast!B17+B19</f>
        <v>32016036344.065258</v>
      </c>
    </row>
    <row r="21" spans="1:2" x14ac:dyDescent="0.25">
      <c r="A21" t="s">
        <v>63</v>
      </c>
      <c r="B21" s="18">
        <f>-Assumptions!B30</f>
        <v>-14499300000</v>
      </c>
    </row>
    <row r="22" spans="1:2" x14ac:dyDescent="0.25">
      <c r="A22" t="s">
        <v>64</v>
      </c>
      <c r="B22" s="18">
        <f>B20+B21</f>
        <v>17516736344.065258</v>
      </c>
    </row>
    <row r="23" spans="1:2" x14ac:dyDescent="0.25">
      <c r="A23" s="19" t="s">
        <v>65</v>
      </c>
      <c r="B23" s="25">
        <f>B22/Assumptions!B31</f>
        <v>3.34970032678251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3.44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1.6710573033697582</v>
      </c>
    </row>
    <row r="29" spans="1:2" x14ac:dyDescent="0.25">
      <c r="A29" s="19" t="s">
        <v>73</v>
      </c>
      <c r="B29" s="12">
        <f>B28/B26-1</f>
        <v>-0.5142275280901866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0.062306</v>
      </c>
      <c r="B5" s="31">
        <v>3.08859028175503</v>
      </c>
      <c r="C5" s="31">
        <v>3.11115888853823</v>
      </c>
      <c r="D5" s="31">
        <v>3.1337274953214274</v>
      </c>
      <c r="E5" s="31">
        <v>3.156296102104627</v>
      </c>
      <c r="F5" s="31">
        <v>3.1788647088878257</v>
      </c>
    </row>
    <row r="6" spans="1:6" x14ac:dyDescent="0.25">
      <c r="A6" s="30">
        <v>0.072306</v>
      </c>
      <c r="B6" s="31">
        <v>2.2631895219561784</v>
      </c>
      <c r="C6" s="31">
        <v>2.281833961220094</v>
      </c>
      <c r="D6" s="31">
        <v>2.300478400484007</v>
      </c>
      <c r="E6" s="31">
        <v>2.319122839747921</v>
      </c>
      <c r="F6" s="31">
        <v>2.337767279011835</v>
      </c>
    </row>
    <row r="7" spans="1:6" x14ac:dyDescent="0.25">
      <c r="A7" s="30">
        <v>0.082306</v>
      </c>
      <c r="B7" s="31">
        <v>1.6396375269391805</v>
      </c>
      <c r="C7" s="31">
        <v>1.6553466225266515</v>
      </c>
      <c r="D7" s="32">
        <v>1.671055718114121</v>
      </c>
      <c r="E7" s="31">
        <v>1.686764813701592</v>
      </c>
      <c r="F7" s="31">
        <v>1.7024739092890617</v>
      </c>
    </row>
    <row r="8" spans="1:6" x14ac:dyDescent="0.25">
      <c r="A8" s="30">
        <v>0.092306</v>
      </c>
      <c r="B8" s="31">
        <v>1.15226530907377</v>
      </c>
      <c r="C8" s="31">
        <v>1.1657046696867817</v>
      </c>
      <c r="D8" s="31">
        <v>1.1791440302997926</v>
      </c>
      <c r="E8" s="31">
        <v>1.1925833909128036</v>
      </c>
      <c r="F8" s="31">
        <v>1.2060227515258146</v>
      </c>
    </row>
    <row r="9" spans="1:6" x14ac:dyDescent="0.25">
      <c r="A9" s="30">
        <v>0.102306</v>
      </c>
      <c r="B9" s="31">
        <v>0.7610833741447488</v>
      </c>
      <c r="C9" s="31">
        <v>0.772721876522032</v>
      </c>
      <c r="D9" s="31">
        <v>0.7843603788993144</v>
      </c>
      <c r="E9" s="31">
        <v>0.7959988812765968</v>
      </c>
      <c r="F9" s="31">
        <v>0.8076373836538799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2685000000</v>
      </c>
      <c r="C5" s="18">
        <v>2637100000</v>
      </c>
      <c r="D5" s="18">
        <v>2510300000</v>
      </c>
      <c r="E5" s="18">
        <v>2457900000</v>
      </c>
      <c r="F5" s="8" t="s">
        <v>84</v>
      </c>
    </row>
    <row r="6" spans="1:6" x14ac:dyDescent="0.25">
      <c r="A6" t="s">
        <v>44</v>
      </c>
      <c r="B6" s="18">
        <v>1803200000</v>
      </c>
      <c r="C6" s="18">
        <v>1732700000</v>
      </c>
      <c r="D6" s="18">
        <v>1651800000</v>
      </c>
      <c r="E6" s="18">
        <v>1525300000</v>
      </c>
      <c r="F6" s="8" t="s">
        <v>85</v>
      </c>
    </row>
    <row r="7" spans="1:6" x14ac:dyDescent="0.25">
      <c r="A7" t="s">
        <v>86</v>
      </c>
      <c r="B7" s="18">
        <v>12800000</v>
      </c>
      <c r="C7" s="18">
        <v>13700000</v>
      </c>
      <c r="D7" s="18">
        <v>13800000</v>
      </c>
      <c r="E7" s="18">
        <v>13700000</v>
      </c>
      <c r="F7" s="8" t="s">
        <v>87</v>
      </c>
    </row>
    <row r="8" spans="1:6" x14ac:dyDescent="0.25">
      <c r="A8" t="s">
        <v>88</v>
      </c>
      <c r="B8" s="18">
        <v>18600000</v>
      </c>
      <c r="C8" s="18">
        <v>411800000</v>
      </c>
      <c r="D8" s="18">
        <v>446600000</v>
      </c>
      <c r="E8" s="18">
        <v>37400000</v>
      </c>
      <c r="F8" s="8" t="s">
        <v>89</v>
      </c>
    </row>
    <row r="9" spans="1:6" x14ac:dyDescent="0.25">
      <c r="A9" t="s">
        <v>90</v>
      </c>
      <c r="B9" s="18">
        <v>50000000</v>
      </c>
      <c r="C9" s="18">
        <v>27900000</v>
      </c>
      <c r="D9" s="18">
        <v>-70000000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15028700000</v>
      </c>
      <c r="C10" s="18">
        <v>16774400000</v>
      </c>
      <c r="D10" s="18">
        <v>15710600000</v>
      </c>
      <c r="E10" s="18">
        <v>15874100000</v>
      </c>
      <c r="F10" s="8" t="s">
        <v>93</v>
      </c>
    </row>
    <row r="11" spans="1:6" x14ac:dyDescent="0.25">
      <c r="A11" t="s">
        <v>94</v>
      </c>
      <c r="B11" s="18">
        <v>529400000</v>
      </c>
      <c r="C11" s="18">
        <v>380600000</v>
      </c>
      <c r="D11" s="18">
        <v>296400000</v>
      </c>
      <c r="E11" s="18">
        <v>679000000</v>
      </c>
      <c r="F11" s="8" t="s">
        <v>95</v>
      </c>
    </row>
    <row r="12" spans="1:6" x14ac:dyDescent="0.25">
      <c r="A12" t="s">
        <v>32</v>
      </c>
      <c r="B12" s="34">
        <v>5229344310</v>
      </c>
      <c r="C12" s="34">
        <v>5215101838</v>
      </c>
      <c r="D12" s="34">
        <v>5205357143</v>
      </c>
      <c r="E12" s="34">
        <v>5200692042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2026-09-19T00:06:20Z</dcterms:modified>
</cp:coreProperties>
</file>