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<sst xmlns="http://schemas.openxmlformats.org/spreadsheetml/2006/main" count="70" uniqueCount="67">
  <si>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Charles Schwab Corporation (SCHW)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</si>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</sst>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0.85394</v>
      </c>
    </row>
    <row r="9" spans="1:2" x14ac:dyDescent="0.25">
      <c r="A9" t="s">
        <v>8</v>
      </c>
      <c r="B9" s="8">
        <f>B6+B8*B7</f>
        <v>0.08506166200000001</v>
      </c>
    </row>
    <row r="10" spans="1:2" x14ac:dyDescent="0.25">
      <c r="A10" t="s">
        <v>9</v>
      </c>
      <c r="B10" s="8">
        <f>MEDIAN('Source data'!B9:E9)</f>
        <v>0.17281243030257973</v>
      </c>
    </row>
    <row r="11" spans="1:2" x14ac:dyDescent="0.25">
      <c r="A11" t="s">
        <v>10</v>
      </c>
      <c r="B11" s="8">
        <f>IFERROR(MIN(MAX(MEDIAN('Source data'!B10:E10),0),1),0)</f>
        <v>0.4152975538517707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42662000000</v>
      </c>
    </row>
    <row r="15" spans="1:2" x14ac:dyDescent="0.25">
      <c r="A15" t="s">
        <v>14</v>
      </c>
      <c r="B15" s="10">
        <f>'Source data'!B8</f>
        <v>1809000000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0.10104385072273875</v>
      </c>
    </row>
    <row r="18" spans="1:2" x14ac:dyDescent="0.25">
      <c r="A18" t="s">
        <v>17</v>
      </c>
      <c r="B18" s="8">
        <f>MIN(B10,B12)</f>
        <v>0.17281243030257973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0.17281243030257973</v>
      </c>
      <c r="C22" s="8">
        <f>$B$10+($B$18-$B$10)*C21/$B$16</f>
        <v>0.17281243030257973</v>
      </c>
      <c r="D22" s="8">
        <f>$B$10+($B$18-$B$10)*D21/$B$16</f>
        <v>0.17281243030257973</v>
      </c>
      <c r="E22" s="8">
        <f>$B$10+($B$18-$B$10)*E21/$B$16</f>
        <v>0.17281243030257973</v>
      </c>
      <c r="F22" s="8">
        <f>$B$10+($B$18-$B$10)*F21/$B$16</f>
        <v>0.17281243030257973</v>
      </c>
      <c r="G22" s="8">
        <f>$B$10+($B$18-$B$10)*G21/$B$16</f>
        <v>0.17281243030257973</v>
      </c>
      <c r="H22" s="8">
        <f>$B$10+($B$18-$B$10)*H21/$B$16</f>
        <v>0.17281243030257973</v>
      </c>
      <c r="I22" s="8">
        <f>$B$10+($B$18-$B$10)*I21/$B$16</f>
        <v>0.17281243030257973</v>
      </c>
      <c r="J22" s="8">
        <f>$B$10+($B$18-$B$10)*J21/$B$16</f>
        <v>0.17281243030257973</v>
      </c>
      <c r="K22" s="8">
        <f>$B$10+($B$18-$B$10)*K21/$B$16</f>
        <v>0.17281243030257973</v>
      </c>
    </row>
    <row r="23" spans="1:11" x14ac:dyDescent="0.25">
      <c r="A23" t="s">
        <v>31</v>
      </c>
      <c r="B23" s="8">
        <f>$B$17+($B$13-$B$17)*B21/$B$16</f>
        <v>0.09343946565046488</v>
      </c>
      <c r="C23" s="8">
        <f>$B$17+($B$13-$B$17)*C21/$B$16</f>
        <v>0.085835080578191</v>
      </c>
      <c r="D23" s="8">
        <f>$B$17+($B$13-$B$17)*D21/$B$16</f>
        <v>0.07823069550591713</v>
      </c>
      <c r="E23" s="8">
        <f>$B$17+($B$13-$B$17)*E21/$B$16</f>
        <v>0.07062631043364324</v>
      </c>
      <c r="F23" s="8">
        <f>$B$17+($B$13-$B$17)*F21/$B$16</f>
        <v>0.06302192536136937</v>
      </c>
      <c r="G23" s="8">
        <f>$B$17+($B$13-$B$17)*G21/$B$16</f>
        <v>0.0554175402890955</v>
      </c>
      <c r="H23" s="8">
        <f>$B$17+($B$13-$B$17)*H21/$B$16</f>
        <v>0.047813155216821626</v>
      </c>
      <c r="I23" s="8">
        <f>$B$17+($B$13-$B$17)*I21/$B$16</f>
        <v>0.04020877014454774</v>
      </c>
      <c r="J23" s="8">
        <f>$B$17+($B$13-$B$17)*J21/$B$16</f>
        <v>0.03260438507227387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42662000000</v>
      </c>
      <c r="C24" s="9">
        <f>B24*(1+B23)</f>
        <v>46648314483.58013</v>
      </c>
      <c r="D24" s="9">
        <f>C24*(1+C23)</f>
        <v>50652376316.11502</v>
      </c>
      <c r="E24" s="9">
        <f>D24*(1+D23)</f>
        <v>54614946944.35214</v>
      </c>
      <c r="F24" s="9">
        <f>E24*(1+E23)</f>
        <v>58472199141.560905</v>
      </c>
      <c r="G24" s="9">
        <f>F24*(1+F23)</f>
        <v>62157229711.57548</v>
      </c>
      <c r="H24" s="9">
        <f>G24*(1+G23)</f>
        <v>65601830493.375275</v>
      </c>
      <c r="I24" s="9">
        <f>H24*(1+H23)</f>
        <v>68738460997.26263</v>
      </c>
      <c r="J24" s="9">
        <f>I24*(1+I23)</f>
        <v>71502349975.59152</v>
      </c>
      <c r="K24" s="9">
        <f>J24*(1+J23)</f>
        <v>73833640127.76819</v>
      </c>
    </row>
    <row r="25" spans="1:11" x14ac:dyDescent="0.25">
      <c r="A25" t="s">
        <v>33</v>
      </c>
      <c r="B25" s="9">
        <f>(B22-$B$9)*B24</f>
        <v>3743623277.324656</v>
      </c>
      <c r="C25" s="9">
        <f>(C22-$B$9)*C24</f>
        <v>4093425435.9545135</v>
      </c>
      <c r="D25" s="9">
        <f>(D22-$B$9)*D24</f>
        <v>4444784938.090486</v>
      </c>
      <c r="E25" s="9">
        <f>(E22-$B$9)*E24</f>
        <v>4792503555.171529</v>
      </c>
      <c r="F25" s="9">
        <f>(F22-$B$9)*F24</f>
        <v>5130980399.0134115</v>
      </c>
      <c r="G25" s="9">
        <f>(G22-$B$9)*G24</f>
        <v>5454344662.750684</v>
      </c>
      <c r="H25" s="9">
        <f>(H22-$B$9)*H24</f>
        <v>5756611027.849282</v>
      </c>
      <c r="I25" s="9">
        <f>(I22-$B$9)*I24</f>
        <v>6031852764.446706</v>
      </c>
      <c r="J25" s="9">
        <f>(J22-$B$9)*J24</f>
        <v>6274386145.798099</v>
      </c>
      <c r="K25" s="9">
        <f>(K22-$B$9)*K24</f>
        <v>6478958647.787839</v>
      </c>
    </row>
    <row r="26" spans="1:11" x14ac:dyDescent="0.25">
      <c r="A26" t="s">
        <v>34</v>
      </c>
      <c r="B26" s="14">
        <f>1/(1+$B$9)^B21</f>
        <v>0.9216066100398265</v>
      </c>
      <c r="C26" s="14">
        <f>1/(1+$B$9)^C21</f>
        <v>0.8493587436691009</v>
      </c>
      <c r="D26" s="14">
        <f>1/(1+$B$9)^D21</f>
        <v>0.7827746324605659</v>
      </c>
      <c r="E26" s="14">
        <f>1/(1+$B$9)^E21</f>
        <v>0.7214102754471533</v>
      </c>
      <c r="F26" s="14">
        <f>1/(1+$B$9)^F21</f>
        <v>0.6648564784027484</v>
      </c>
      <c r="G26" s="14">
        <f>1/(1+$B$9)^G21</f>
        <v>0.6127361252237741</v>
      </c>
      <c r="H26" s="14">
        <f>1/(1+$B$9)^H21</f>
        <v>0.5647016632164211</v>
      </c>
      <c r="I26" s="14">
        <f>1/(1+$B$9)^I21</f>
        <v>0.5204327855207376</v>
      </c>
      <c r="J26" s="14">
        <f>1/(1+$B$9)^J21</f>
        <v>0.479634295217351</v>
      </c>
      <c r="K26" s="14">
        <f>1/(1+$B$9)^K21</f>
        <v>0.4420341368741043</v>
      </c>
    </row>
    <row r="27" spans="1:11" x14ac:dyDescent="0.25">
      <c r="A27" s="15" t="s">
        <v>35</v>
      </c>
      <c r="B27" s="16">
        <f>B25*B26</f>
        <v>3450147957.8813615</v>
      </c>
      <c r="C27" s="16">
        <f>C25*C26</f>
        <v>3476786685.5854673</v>
      </c>
      <c r="D27" s="16">
        <f>D25*D26</f>
        <v>3479264896.280039</v>
      </c>
      <c r="E27" s="16">
        <f>E25*E26</f>
        <v>3457361309.8177543</v>
      </c>
      <c r="F27" s="16">
        <f>F25*F26</f>
        <v>3411365558.841586</v>
      </c>
      <c r="G27" s="16">
        <f>G25*G26</f>
        <v>3342074014.288827</v>
      </c>
      <c r="H27" s="16">
        <f>H25*H26</f>
        <v>3250767821.916481</v>
      </c>
      <c r="I27" s="16">
        <f>I25*I26</f>
        <v>3139173936.0519605</v>
      </c>
      <c r="J27" s="16">
        <f>J25*J26</f>
        <v>3009410776.9613824</v>
      </c>
      <c r="K27" s="16">
        <f>K25*K26</f>
        <v>2863920893.7179112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42662000000</v>
      </c>
    </row>
    <row r="31" spans="1:2" x14ac:dyDescent="0.25">
      <c r="A31" t="s">
        <v>38</v>
      </c>
      <c r="B31" s="9">
        <f>SUM(B27:K27)</f>
        <v>32880273851.34277</v>
      </c>
    </row>
    <row r="32" spans="1:2" x14ac:dyDescent="0.25">
      <c r="A32" t="s">
        <v>39</v>
      </c>
      <c r="B32" s="9">
        <f>K24*(1+K23)</f>
        <v>75679481130.96239</v>
      </c>
    </row>
    <row r="33" spans="1:2" x14ac:dyDescent="0.25">
      <c r="A33" t="s">
        <v>40</v>
      </c>
      <c r="B33" s="9">
        <f>(B18-B9)*B32</f>
        <v>6640932613.982534</v>
      </c>
    </row>
    <row r="34" spans="1:2" x14ac:dyDescent="0.25">
      <c r="A34" t="s">
        <v>41</v>
      </c>
      <c r="B34" s="9">
        <f>B33/(B9-B13)</f>
        <v>110568578904.50206</v>
      </c>
    </row>
    <row r="35" spans="1:2" x14ac:dyDescent="0.25">
      <c r="A35" t="s">
        <v>42</v>
      </c>
      <c r="B35" s="9">
        <f>B34*K26</f>
        <v>48875086341.44787</v>
      </c>
    </row>
    <row r="36" spans="1:2" x14ac:dyDescent="0.25">
      <c r="A36" s="15" t="s">
        <v>43</v>
      </c>
      <c r="B36" s="16">
        <f>B30+B31+B35</f>
        <v>124417360192.79065</v>
      </c>
    </row>
    <row r="37" spans="1:2" x14ac:dyDescent="0.25">
      <c r="A37" s="15" t="s">
        <v>44</v>
      </c>
      <c r="B37" s="17">
        <f>B36/B15</f>
        <v>68.77687130613081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88.05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68.77687130613081</v>
      </c>
    </row>
    <row r="43" spans="1:2" x14ac:dyDescent="0.25">
      <c r="A43" s="15" t="s">
        <v>48</v>
      </c>
      <c r="B43" s="21">
        <f>B42/B40-1</f>
        <v>-0.21888845762486298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8417000000</v>
      </c>
      <c r="C5" s="9">
        <v>5478000000</v>
      </c>
      <c r="D5" s="9">
        <v>4649000000</v>
      </c>
      <c r="E5" s="9">
        <v>6635000000</v>
      </c>
      <c r="F5" s="6" t="s">
        <v>57</v>
      </c>
    </row>
    <row r="6" spans="1:6" x14ac:dyDescent="0.25">
      <c r="A6" t="s">
        <v>37</v>
      </c>
      <c r="B6" s="9">
        <v>42662000000</v>
      </c>
      <c r="C6" s="9">
        <v>39184000000</v>
      </c>
      <c r="D6" s="9">
        <v>31767000000</v>
      </c>
      <c r="E6" s="9">
        <v>26902000000</v>
      </c>
      <c r="F6" s="6" t="s">
        <v>58</v>
      </c>
    </row>
    <row r="7" spans="1:6" x14ac:dyDescent="0.25">
      <c r="A7" t="s">
        <v>59</v>
      </c>
      <c r="B7" s="9">
        <v>2329000000</v>
      </c>
      <c r="C7" s="9">
        <v>2275000000</v>
      </c>
      <c r="D7" s="9">
        <v>2276000000</v>
      </c>
      <c r="E7" s="9">
        <v>2110000000</v>
      </c>
      <c r="F7" s="6" t="s">
        <v>60</v>
      </c>
    </row>
    <row r="8" spans="1:6" x14ac:dyDescent="0.25">
      <c r="A8" t="s">
        <v>14</v>
      </c>
      <c r="B8" s="10">
        <v>1809000000</v>
      </c>
      <c r="C8" s="10">
        <v>1834000000</v>
      </c>
      <c r="D8" s="10">
        <v>1831000000</v>
      </c>
      <c r="E8" s="10">
        <v>1894000000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0.2148070641077991</v>
      </c>
      <c r="C9" s="8">
        <f>IF(AND(ISNUMBER(C5),N(D6)&gt;0),C5/D6,"")</f>
        <v>0.1724431013315705</v>
      </c>
      <c r="D9" s="8">
        <f>IF(AND(ISNUMBER(D5),N(E6)&gt;0),D5/E6,"")</f>
        <v>0.17281243030257973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0.27670191279553286</v>
      </c>
      <c r="C10" s="8">
        <f>IF(AND(ISNUMBER(C9),N(C5)&gt;0,ISNUMBER(C7)),C7/C5,"")</f>
        <v>0.4152975538517707</v>
      </c>
      <c r="D10" s="8">
        <f>IF(AND(ISNUMBER(D9),N(D5)&gt;0,ISNUMBER(D7)),D7/D5,"")</f>
        <v>0.4895676489567649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