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<sst xmlns="http://schemas.openxmlformats.org/spreadsheetml/2006/main" count="112" uniqueCount="100">
  <si>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Charles Schwab Corporation (SCHW)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</si>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</sst>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0.048342956030810846</v>
      </c>
    </row>
    <row r="7" spans="1:2" x14ac:dyDescent="0.25">
      <c r="A7" t="s">
        <v>5</v>
      </c>
      <c r="B7" s="6">
        <v>0.41553130533358296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0.06531738347686745</v>
      </c>
    </row>
    <row r="10" spans="1:2" x14ac:dyDescent="0.25">
      <c r="A10" t="s">
        <v>8</v>
      </c>
      <c r="B10" s="6">
        <v>0.03461518866250772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13.020324135714842</v>
      </c>
    </row>
    <row r="14" spans="1:3" x14ac:dyDescent="0.25">
      <c r="A14" t="s">
        <v>12</v>
      </c>
      <c r="B14" s="6">
        <v>0.09335930652400211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0.83451</v>
      </c>
      <c r="C19" s="8" t="s">
        <v>19</v>
      </c>
    </row>
    <row r="20" spans="1:2" x14ac:dyDescent="0.25">
      <c r="A20" t="s">
        <v>20</v>
      </c>
      <c r="B20" s="10">
        <f>B17+B19*B18</f>
        <v>0.09587804999999999</v>
      </c>
    </row>
    <row r="21" spans="1:3" x14ac:dyDescent="0.25">
      <c r="A21" t="s">
        <v>21</v>
      </c>
      <c r="B21" s="6">
        <v>0.09867910889137149</v>
      </c>
      <c r="C21" s="8" t="s">
        <v>22</v>
      </c>
    </row>
    <row r="22" spans="1:2" x14ac:dyDescent="0.25">
      <c r="A22" t="s">
        <v>23</v>
      </c>
      <c r="B22" s="11">
        <v>182012575744</v>
      </c>
    </row>
    <row r="23" spans="1:2" x14ac:dyDescent="0.25">
      <c r="A23" t="s">
        <v>24</v>
      </c>
      <c r="B23" s="11">
        <v>30951000000</v>
      </c>
    </row>
    <row r="24" spans="1:2" x14ac:dyDescent="0.25">
      <c r="A24" t="s">
        <v>25</v>
      </c>
      <c r="B24" s="10">
        <f>B22/(B22+B23)</f>
        <v>0.8546652877522789</v>
      </c>
    </row>
    <row r="25" spans="1:2" x14ac:dyDescent="0.25">
      <c r="A25" t="s">
        <v>26</v>
      </c>
      <c r="B25" s="10">
        <f>1-B24</f>
        <v>0.1453347122477211</v>
      </c>
    </row>
    <row r="26" spans="1:2" x14ac:dyDescent="0.25">
      <c r="A26" t="s">
        <v>27</v>
      </c>
      <c r="B26" s="12">
        <f>B24*B20+B25*B21*(1-B8)</f>
        <v>0.0932734261098927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23921000000</v>
      </c>
      <c r="C29" s="8" t="s">
        <v>30</v>
      </c>
    </row>
    <row r="30" spans="1:2" x14ac:dyDescent="0.25">
      <c r="A30" t="s">
        <v>31</v>
      </c>
      <c r="B30" s="11">
        <v>-15079000000</v>
      </c>
    </row>
    <row r="31" spans="1:2" x14ac:dyDescent="0.25">
      <c r="A31" t="s">
        <v>32</v>
      </c>
      <c r="B31" s="13">
        <v>1809000000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0.048342956030810846</v>
      </c>
      <c r="C5" s="10">
        <f>Assumptions!B6</f>
        <v>0.048342956030810846</v>
      </c>
      <c r="D5" s="10">
        <f>Assumptions!B6</f>
        <v>0.048342956030810846</v>
      </c>
      <c r="E5" s="10">
        <f>Assumptions!B6</f>
        <v>0.048342956030810846</v>
      </c>
      <c r="F5" s="10">
        <f>Assumptions!B6</f>
        <v>0.048342956030810846</v>
      </c>
    </row>
    <row r="6" spans="1:6" x14ac:dyDescent="0.25">
      <c r="A6" t="s">
        <v>43</v>
      </c>
      <c r="B6" s="18">
        <f>Assumptions!B29*(1+B5)</f>
        <v>25077411851.213028</v>
      </c>
      <c r="C6" s="18">
        <f>B6*(1+C5)</f>
        <v>26289728069.702755</v>
      </c>
      <c r="D6" s="18">
        <f>C6*(1+D5)</f>
        <v>27560651237.838367</v>
      </c>
      <c r="E6" s="18">
        <f>D6*(1+E5)</f>
        <v>28893014588.8097</v>
      </c>
      <c r="F6" s="18">
        <f>E6*(1+F5)</f>
        <v>30289788322.674103</v>
      </c>
    </row>
    <row r="7" spans="1:6" x14ac:dyDescent="0.25">
      <c r="A7" t="s">
        <v>5</v>
      </c>
      <c r="B7" s="10">
        <f>Assumptions!B7</f>
        <v>0.41553130533358296</v>
      </c>
      <c r="C7" s="10">
        <f>Assumptions!B7</f>
        <v>0.41553130533358296</v>
      </c>
      <c r="D7" s="10">
        <f>Assumptions!B7</f>
        <v>0.41553130533358296</v>
      </c>
      <c r="E7" s="10">
        <f>Assumptions!B7</f>
        <v>0.41553130533358296</v>
      </c>
      <c r="F7" s="10">
        <f>Assumptions!B7</f>
        <v>0.41553130533358296</v>
      </c>
    </row>
    <row r="8" spans="1:6" x14ac:dyDescent="0.25">
      <c r="A8" t="s">
        <v>44</v>
      </c>
      <c r="B8" s="18">
        <f>B6*B7</f>
        <v>10420449680.922413</v>
      </c>
      <c r="C8" s="18">
        <f>C6*C7</f>
        <v>10924205021.668522</v>
      </c>
      <c r="D8" s="18">
        <f>D6*D7</f>
        <v>11452313384.702606</v>
      </c>
      <c r="E8" s="18">
        <f>E6*E7</f>
        <v>12005952067.11035</v>
      </c>
      <c r="F8" s="18">
        <f>F6*F7</f>
        <v>12586355279.998688</v>
      </c>
    </row>
    <row r="9" spans="1:6" x14ac:dyDescent="0.25">
      <c r="A9" t="s">
        <v>45</v>
      </c>
      <c r="B9" s="18">
        <f>B8*(1-Assumptions!B8)</f>
        <v>8232155247.928706</v>
      </c>
      <c r="C9" s="18">
        <f>C8*(1-Assumptions!B8)</f>
        <v>8630121967.118134</v>
      </c>
      <c r="D9" s="18">
        <f>D8*(1-Assumptions!B8)</f>
        <v>9047327573.91506</v>
      </c>
      <c r="E9" s="18">
        <f>E8*(1-Assumptions!B8)</f>
        <v>9484702133.017178</v>
      </c>
      <c r="F9" s="18">
        <f>F8*(1-Assumptions!B8)</f>
        <v>9943220671.198963</v>
      </c>
    </row>
    <row r="10" spans="1:6" x14ac:dyDescent="0.25">
      <c r="A10" t="s">
        <v>46</v>
      </c>
      <c r="B10" s="18">
        <f>B6*Assumptions!B9</f>
        <v>1637990926.493022</v>
      </c>
      <c r="C10" s="18">
        <f>C6*Assumptions!B9</f>
        <v>1717176249.8313413</v>
      </c>
      <c r="D10" s="18">
        <f>D6*Assumptions!B9</f>
        <v>1800189625.7740903</v>
      </c>
      <c r="E10" s="18">
        <f>E6*Assumptions!B9</f>
        <v>1887216113.700009</v>
      </c>
      <c r="F10" s="18">
        <f>F6*Assumptions!B9</f>
        <v>1978449719.305246</v>
      </c>
    </row>
    <row r="11" spans="1:6" x14ac:dyDescent="0.25">
      <c r="A11" t="s">
        <v>47</v>
      </c>
      <c r="B11" s="18">
        <f>-B6*Assumptions!B10</f>
        <v>-868059342.397146</v>
      </c>
      <c r="C11" s="18">
        <f>-C6*Assumptions!B10</f>
        <v>-910023897.0187858</v>
      </c>
      <c r="D11" s="18">
        <f>-D6*Assumptions!B10</f>
        <v>-954017142.259352</v>
      </c>
      <c r="E11" s="18">
        <f>-E6*Assumptions!B10</f>
        <v>-1000137151.0202357</v>
      </c>
      <c r="F11" s="18">
        <f>-F6*Assumptions!B10</f>
        <v>-1048486737.3367873</v>
      </c>
    </row>
    <row r="12" spans="1:6" x14ac:dyDescent="0.25">
      <c r="A12" t="s">
        <v>48</v>
      </c>
      <c r="B12" s="18">
        <f>-(B6-Assumptions!B29)*Assumptions!B11</f>
        <v>-1156411851.213028</v>
      </c>
      <c r="C12" s="18">
        <f>-(C6-B6)*Assumptions!B11</f>
        <v>-1212316218.489727</v>
      </c>
      <c r="D12" s="18">
        <f>-(D6-C6)*Assumptions!B11</f>
        <v>-1270923168.1356125</v>
      </c>
      <c r="E12" s="18">
        <f>-(E6-D6)*Assumptions!B11</f>
        <v>-1332363350.9713326</v>
      </c>
      <c r="F12" s="18">
        <f>-(F6-E6)*Assumptions!B11</f>
        <v>-1396773733.8644028</v>
      </c>
    </row>
    <row r="13" spans="1:6" x14ac:dyDescent="0.25">
      <c r="A13" s="19" t="s">
        <v>49</v>
      </c>
      <c r="B13" s="20">
        <f>B9+B10+B11+B12</f>
        <v>7845674980.811554</v>
      </c>
      <c r="C13" s="20">
        <f>C9+C10+C11+C12</f>
        <v>8224958101.440962</v>
      </c>
      <c r="D13" s="20">
        <f>D9+D10+D11+D12</f>
        <v>8622576889.294186</v>
      </c>
      <c r="E13" s="20">
        <f>E9+E10+E11+E12</f>
        <v>9039417744.725618</v>
      </c>
      <c r="F13" s="20">
        <f>F9+F10+F11+F12</f>
        <v>9476409919.303019</v>
      </c>
    </row>
    <row r="14" spans="1:6" x14ac:dyDescent="0.25">
      <c r="A14" t="s">
        <v>50</v>
      </c>
      <c r="B14" s="21">
        <f>1/(1+Assumptions!$B$26)^(1-0.5*Assumptions!$B$32)</f>
        <v>0.9563912718193122</v>
      </c>
      <c r="C14" s="21">
        <f>1/(1+Assumptions!$B$26)^(2-0.5*Assumptions!$B$32)</f>
        <v>0.8747960473368155</v>
      </c>
      <c r="D14" s="21">
        <f>1/(1+Assumptions!$B$26)^(3-0.5*Assumptions!$B$32)</f>
        <v>0.8001621794188599</v>
      </c>
      <c r="E14" s="21">
        <f>1/(1+Assumptions!$B$26)^(4-0.5*Assumptions!$B$32)</f>
        <v>0.7318957548122366</v>
      </c>
      <c r="F14" s="21">
        <f>1/(1+Assumptions!$B$26)^(5-0.5*Assumptions!$B$32)</f>
        <v>0.6694535304095726</v>
      </c>
    </row>
    <row r="15" spans="1:6" x14ac:dyDescent="0.25">
      <c r="A15" s="19" t="s">
        <v>51</v>
      </c>
      <c r="B15" s="20">
        <f>B13*B14</f>
        <v>7503535073.179319</v>
      </c>
      <c r="C15" s="20">
        <f>C13*C14</f>
        <v>7195160836.651472</v>
      </c>
      <c r="D15" s="20">
        <f>D13*D14</f>
        <v>6899459915.944329</v>
      </c>
      <c r="E15" s="20">
        <f>E13*E14</f>
        <v>6615911473.339082</v>
      </c>
      <c r="F15" s="20">
        <f>F13*F14</f>
        <v>6344016076.085698</v>
      </c>
    </row>
    <row r="17" spans="1:2" x14ac:dyDescent="0.25">
      <c r="A17" s="22" t="s">
        <v>52</v>
      </c>
      <c r="B17" s="23">
        <f>SUM(B15:F15)</f>
        <v>34558083375.1999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9476409919.303019</v>
      </c>
    </row>
    <row r="5" spans="1:2" x14ac:dyDescent="0.25">
      <c r="A5" t="s">
        <v>56</v>
      </c>
      <c r="B5" s="18">
        <f>IF(Assumptions!$B$33=0,B4,B4-Forecast!F11-Forecast!F10-Forecast!F12)</f>
        <v>10570936575.234093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0.26778262318789453</v>
      </c>
    </row>
    <row r="7" spans="1:2" x14ac:dyDescent="0.25">
      <c r="A7" t="s">
        <v>58</v>
      </c>
      <c r="B7" s="18">
        <f>-MAX(Forecast!F9,0)*B6</f>
        <v>-2830713125.6690435</v>
      </c>
    </row>
    <row r="8" spans="1:2" x14ac:dyDescent="0.25">
      <c r="A8" t="s">
        <v>59</v>
      </c>
      <c r="B8" s="18">
        <f>IF(OR(Assumptions!$B$33=0,Assumptions!B12&lt;=0),B5,MAX(B5+B7,0))</f>
        <v>7740223449.565049</v>
      </c>
    </row>
    <row r="9" spans="1:2" x14ac:dyDescent="0.25">
      <c r="A9" t="s">
        <v>60</v>
      </c>
      <c r="B9" s="18">
        <f>B8*(1+Assumptions!B12)/(Assumptions!B26-Assumptions!B12)</f>
        <v>116205227829.55212</v>
      </c>
    </row>
    <row r="10" spans="1:2" x14ac:dyDescent="0.25">
      <c r="A10" t="s">
        <v>61</v>
      </c>
      <c r="B10" s="18">
        <f>B9/(1+Assumptions!B26)^(5-0.5*Assumptions!B32)</f>
        <v>77794000022.54237</v>
      </c>
    </row>
    <row r="11" spans="1:2" x14ac:dyDescent="0.25">
      <c r="A11" t="s">
        <v>62</v>
      </c>
      <c r="B11" s="18">
        <f>Forecast!B17+B10</f>
        <v>112352083397.74228</v>
      </c>
    </row>
    <row r="12" spans="1:2" x14ac:dyDescent="0.25">
      <c r="A12" t="s">
        <v>63</v>
      </c>
      <c r="B12" s="18">
        <f>-Assumptions!B30</f>
        <v>15079000000</v>
      </c>
    </row>
    <row r="13" spans="1:2" x14ac:dyDescent="0.25">
      <c r="A13" t="s">
        <v>64</v>
      </c>
      <c r="B13" s="18">
        <f>B11+B12</f>
        <v>127431083397.74228</v>
      </c>
    </row>
    <row r="14" spans="1:2" x14ac:dyDescent="0.25">
      <c r="A14" s="19" t="s">
        <v>65</v>
      </c>
      <c r="B14" s="24">
        <f>B13/Assumptions!B31</f>
        <v>70.44283217122293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14564804999.303934</v>
      </c>
    </row>
    <row r="18" spans="1:2" x14ac:dyDescent="0.25">
      <c r="A18" t="s">
        <v>60</v>
      </c>
      <c r="B18" s="18">
        <f>B17*Assumptions!B13</f>
        <v>189638482064.4172</v>
      </c>
    </row>
    <row r="19" spans="1:2" x14ac:dyDescent="0.25">
      <c r="A19" t="s">
        <v>61</v>
      </c>
      <c r="B19" s="18">
        <f>B18/(1+Assumptions!B26)^(5-0.5*Assumptions!B32)</f>
        <v>126954151319.5365</v>
      </c>
    </row>
    <row r="20" spans="1:2" x14ac:dyDescent="0.25">
      <c r="A20" t="s">
        <v>62</v>
      </c>
      <c r="B20" s="18">
        <f>Forecast!B17+B19</f>
        <v>161512234694.7364</v>
      </c>
    </row>
    <row r="21" spans="1:2" x14ac:dyDescent="0.25">
      <c r="A21" t="s">
        <v>63</v>
      </c>
      <c r="B21" s="18">
        <f>-Assumptions!B30</f>
        <v>15079000000</v>
      </c>
    </row>
    <row r="22" spans="1:2" x14ac:dyDescent="0.25">
      <c r="A22" t="s">
        <v>64</v>
      </c>
      <c r="B22" s="18">
        <f>B20+B21</f>
        <v>176591234694.7364</v>
      </c>
    </row>
    <row r="23" spans="1:2" x14ac:dyDescent="0.25">
      <c r="A23" s="19" t="s">
        <v>65</v>
      </c>
      <c r="B23" s="25">
        <f>B22/Assumptions!B31</f>
        <v>97.61815074335898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105.25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70.44283217122293</v>
      </c>
    </row>
    <row r="29" spans="1:2" x14ac:dyDescent="0.25">
      <c r="A29" s="19" t="s">
        <v>73</v>
      </c>
      <c r="B29" s="12">
        <f>B28/B26-1</f>
        <v>-0.33070943305251366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0.073273</v>
      </c>
      <c r="B5" s="31">
        <v>90.46289660069411</v>
      </c>
      <c r="C5" s="31">
        <v>92.27154176916247</v>
      </c>
      <c r="D5" s="31">
        <v>94.40769563553677</v>
      </c>
      <c r="E5" s="31">
        <v>96.98488465900843</v>
      </c>
      <c r="F5" s="31">
        <v>100.17595986657973</v>
      </c>
    </row>
    <row r="6" spans="1:6" x14ac:dyDescent="0.25">
      <c r="A6" s="30">
        <v>0.083273</v>
      </c>
      <c r="B6" s="31">
        <v>78.74448288555472</v>
      </c>
      <c r="C6" s="31">
        <v>79.51513237455718</v>
      </c>
      <c r="D6" s="31">
        <v>80.38055864236708</v>
      </c>
      <c r="E6" s="31">
        <v>81.36744784673999</v>
      </c>
      <c r="F6" s="31">
        <v>82.51354249484234</v>
      </c>
    </row>
    <row r="7" spans="1:6" x14ac:dyDescent="0.25">
      <c r="A7" s="30">
        <v>0.093273</v>
      </c>
      <c r="B7" s="31">
        <v>70.01677178358024</v>
      </c>
      <c r="C7" s="31">
        <v>70.22973045130611</v>
      </c>
      <c r="D7" s="32">
        <v>70.44319398464853</v>
      </c>
      <c r="E7" s="31">
        <v>70.6572820710611</v>
      </c>
      <c r="F7" s="31">
        <v>70.87215547618227</v>
      </c>
    </row>
    <row r="8" spans="1:6" x14ac:dyDescent="0.25">
      <c r="A8" s="30">
        <v>0.103273</v>
      </c>
      <c r="B8" s="31">
        <v>63.929464505058256</v>
      </c>
      <c r="C8" s="31">
        <v>64.11126064454217</v>
      </c>
      <c r="D8" s="31">
        <v>64.29305678402608</v>
      </c>
      <c r="E8" s="31">
        <v>64.47485292351</v>
      </c>
      <c r="F8" s="31">
        <v>64.65664906299389</v>
      </c>
    </row>
    <row r="9" spans="1:6" x14ac:dyDescent="0.25">
      <c r="A9" s="30">
        <v>0.113273</v>
      </c>
      <c r="B9" s="31">
        <v>58.934062246290885</v>
      </c>
      <c r="C9" s="31">
        <v>59.09321382766893</v>
      </c>
      <c r="D9" s="31">
        <v>59.25236540904697</v>
      </c>
      <c r="E9" s="31">
        <v>59.41151699042502</v>
      </c>
      <c r="F9" s="31">
        <v>59.57066857180307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23921000000</v>
      </c>
      <c r="C5" s="18">
        <v>19606000000</v>
      </c>
      <c r="D5" s="18">
        <v>18837000000</v>
      </c>
      <c r="E5" s="18">
        <v>20762000000</v>
      </c>
      <c r="F5" s="8" t="s">
        <v>84</v>
      </c>
    </row>
    <row r="6" spans="1:6" x14ac:dyDescent="0.25">
      <c r="A6" t="s">
        <v>44</v>
      </c>
      <c r="B6" s="18">
        <v>11459000000</v>
      </c>
      <c r="C6" s="18">
        <v>7692000000</v>
      </c>
      <c r="D6" s="18">
        <v>6378000000</v>
      </c>
      <c r="E6" s="18">
        <v>9388000000</v>
      </c>
      <c r="F6" s="8" t="s">
        <v>85</v>
      </c>
    </row>
    <row r="7" spans="1:6" x14ac:dyDescent="0.25">
      <c r="A7" t="s">
        <v>86</v>
      </c>
      <c r="B7" s="18">
        <v>1362000000</v>
      </c>
      <c r="C7" s="18">
        <v>1435000000</v>
      </c>
      <c r="D7" s="18">
        <v>1338000000</v>
      </c>
      <c r="E7" s="18">
        <v>1248000000</v>
      </c>
      <c r="F7" s="8" t="s">
        <v>87</v>
      </c>
    </row>
    <row r="8" spans="1:6" x14ac:dyDescent="0.25">
      <c r="A8" t="s">
        <v>88</v>
      </c>
      <c r="B8" s="18">
        <v>548000000</v>
      </c>
      <c r="C8" s="18">
        <v>620000000</v>
      </c>
      <c r="D8" s="18">
        <v>700000000</v>
      </c>
      <c r="E8" s="18">
        <v>971000000</v>
      </c>
      <c r="F8" s="8" t="s">
        <v>89</v>
      </c>
    </row>
    <row r="9" spans="1:6" x14ac:dyDescent="0.25">
      <c r="A9" t="s">
        <v>90</v>
      </c>
      <c r="B9" s="18">
        <v>3005000000</v>
      </c>
      <c r="C9" s="18">
        <v>6211000000</v>
      </c>
      <c r="D9" s="18">
        <v>-11808000000</v>
      </c>
      <c r="E9" s="18">
        <v>8587000000</v>
      </c>
      <c r="F9" s="8" t="s">
        <v>91</v>
      </c>
    </row>
    <row r="10" spans="1:6" x14ac:dyDescent="0.25">
      <c r="A10" t="s">
        <v>92</v>
      </c>
      <c r="B10" s="18">
        <v>30951000000</v>
      </c>
      <c r="C10" s="18">
        <v>45134000000</v>
      </c>
      <c r="D10" s="18">
        <v>59081000000</v>
      </c>
      <c r="E10" s="18">
        <v>37878000000</v>
      </c>
      <c r="F10" s="8" t="s">
        <v>93</v>
      </c>
    </row>
    <row r="11" spans="1:6" x14ac:dyDescent="0.25">
      <c r="A11" t="s">
        <v>94</v>
      </c>
      <c r="B11" s="18">
        <v>46030000000</v>
      </c>
      <c r="C11" s="18">
        <v>42083000000</v>
      </c>
      <c r="D11" s="18">
        <v>43337000000</v>
      </c>
      <c r="E11" s="18">
        <v>40195000000</v>
      </c>
      <c r="F11" s="8" t="s">
        <v>95</v>
      </c>
    </row>
    <row r="12" spans="1:6" x14ac:dyDescent="0.25">
      <c r="A12" t="s">
        <v>32</v>
      </c>
      <c r="B12" s="34">
        <v>1809000000</v>
      </c>
      <c r="C12" s="34">
        <v>1834000000</v>
      </c>
      <c r="D12" s="34">
        <v>1831000000</v>
      </c>
      <c r="E12" s="34">
        <v>1894000000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2026-09-19T00:07:54Z</dcterms:modified>
</cp:coreProperties>
</file>