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<sst xmlns="http://schemas.openxmlformats.org/spreadsheetml/2006/main" count="115" uniqueCount="103">
  <si>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Scales Corporation Limited (SCL.NZ)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</si>
  <si>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</si>
  <si>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</si>
  <si>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</si>
  <si>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</si>
  <si>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</si>
  <si>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</si>
  <si>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</si>
  <si>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</si>
  <si>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</si>
  <si>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</si>
  <si>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</si>
  <si>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</si>
  <si>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</si>
  <si>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</si>
  <si>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</si>
  <si>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</si>
  <si>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</si>
  <si>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</si>
  <si>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</si>
  <si>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</si>
  <si>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</si>
  <si>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</si>
  <si>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</si>
  <si>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</si>
  <si>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</si>
  <si>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</si>
  <si>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</si>
  <si>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</si>
  <si>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</si>
  <si>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2025-12-31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</si>
  <si>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</si>
  <si>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</si>
  <si>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</si>
  <si>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</si>
  <si>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</si>
  <si>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</si>
  <si>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</si>
  <si>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</si>
  <si>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</si>
  <si>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</si>
  <si>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</si>
  <si>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</si>
  <si>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</si>
  <si>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</si>
  <si>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</si>
  <si>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</si>
  <si>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</si>
  <si>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</si>
  <si>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</si>
  <si>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</si>
  <si>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</si>
  <si>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</si>
  <si>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</si>
  <si>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</si>
  <si>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</si>
  <si>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</si>
  <si>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</si>
  <si>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</si>
  <si>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</si>
  <si>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</si>
  <si>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</si>
  <si>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</si>
  <si>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</si>
  <si>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</si>
  <si>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</si>
  <si>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</si>
  <si>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</si>
  <si>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</si>
  <si>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</si>
  <si>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</si>
  <si>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</si>
  <si>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</si>
  <si>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</si>
  <si>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</si>
  <si>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</si>
  <si>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</si>
  <si>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</si>
  <si>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</si>
  <si>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</si>
  <si>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</si>
  <si>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</si>
  <si>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</si>
  <si>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</si>
  <si>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</si>
  <si>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</si>
  <si>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</si>
  <si>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</si>
  <si>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</si>
  <si>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</si>
  <si>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</si>
  <si>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</si>
  <si>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</si>
  <si>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</si>
  <si>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</si>
  <si>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</si>
  <si>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</si>
  <si>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</si>
  <si>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</si>
  <si>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Consensus rests on as few as 2 analyst estimate(s).</t>
  </si>
  <si>
    <t>Adjusted: Capital expenditure runs at 4.3% of revenue against depreciation of 3.4%.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</si>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</sst>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0.13833589190793694</v>
      </c>
    </row>
    <row r="7" spans="1:2" x14ac:dyDescent="0.25">
      <c r="A7" t="s">
        <v>5</v>
      </c>
      <c r="B7" s="6">
        <v>0.08422081901839154</v>
      </c>
    </row>
    <row r="8" spans="1:2" x14ac:dyDescent="0.25">
      <c r="A8" t="s">
        <v>6</v>
      </c>
      <c r="B8" s="6">
        <v>0.16719786508674445</v>
      </c>
    </row>
    <row r="9" spans="1:2" x14ac:dyDescent="0.25">
      <c r="A9" t="s">
        <v>7</v>
      </c>
      <c r="B9" s="6">
        <v>0.03350798226702027</v>
      </c>
    </row>
    <row r="10" spans="1:2" x14ac:dyDescent="0.25">
      <c r="A10" t="s">
        <v>8</v>
      </c>
      <c r="B10" s="6">
        <v>0.0433631794191016</v>
      </c>
    </row>
    <row r="11" spans="1:2" x14ac:dyDescent="0.25">
      <c r="A11" t="s">
        <v>9</v>
      </c>
      <c r="B11" s="6">
        <v>0.31134130479071004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9.492097738372046</v>
      </c>
    </row>
    <row r="14" spans="1:3" x14ac:dyDescent="0.25">
      <c r="A14" t="s">
        <v>12</v>
      </c>
      <c r="B14" s="6">
        <v>0.10019093582969227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0.48075</v>
      </c>
      <c r="C19" s="8" t="s">
        <v>19</v>
      </c>
    </row>
    <row r="20" spans="1:2" x14ac:dyDescent="0.25">
      <c r="A20" t="s">
        <v>20</v>
      </c>
      <c r="B20" s="10">
        <f>B17+B19*B18</f>
        <v>0.07624875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982080320</v>
      </c>
    </row>
    <row r="23" spans="1:2" x14ac:dyDescent="0.25">
      <c r="A23" t="s">
        <v>24</v>
      </c>
      <c r="B23" s="11">
        <v>262374000</v>
      </c>
    </row>
    <row r="24" spans="1:2" x14ac:dyDescent="0.25">
      <c r="A24" t="s">
        <v>25</v>
      </c>
      <c r="B24" s="10">
        <f>B22/(B22+B23)</f>
        <v>0.7891654231229637</v>
      </c>
    </row>
    <row r="25" spans="1:2" x14ac:dyDescent="0.25">
      <c r="A25" t="s">
        <v>26</v>
      </c>
      <c r="B25" s="10">
        <f>1-B24</f>
        <v>0.21083457687703633</v>
      </c>
    </row>
    <row r="26" spans="1:2" x14ac:dyDescent="0.25">
      <c r="A26" t="s">
        <v>27</v>
      </c>
      <c r="B26" s="12">
        <f>B24*B20+B25*B21*(1-B8)</f>
        <v>0.06807413391449987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906115000</v>
      </c>
      <c r="C29" s="8" t="s">
        <v>30</v>
      </c>
    </row>
    <row r="30" spans="1:2" x14ac:dyDescent="0.25">
      <c r="A30" t="s">
        <v>31</v>
      </c>
      <c r="B30" s="11">
        <v>197702000</v>
      </c>
    </row>
    <row r="31" spans="1:2" x14ac:dyDescent="0.25">
      <c r="A31" t="s">
        <v>32</v>
      </c>
      <c r="B31" s="13">
        <v>143857550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0.13833589190793694</v>
      </c>
      <c r="C5" s="10">
        <f>Assumptions!B6</f>
        <v>0.13833589190793694</v>
      </c>
      <c r="D5" s="10">
        <f>Assumptions!B6</f>
        <v>0.13833589190793694</v>
      </c>
      <c r="E5" s="10">
        <f>Assumptions!B6</f>
        <v>0.13833589190793694</v>
      </c>
      <c r="F5" s="10">
        <f>Assumptions!B6</f>
        <v>0.13833589190793694</v>
      </c>
    </row>
    <row r="6" spans="1:6" x14ac:dyDescent="0.25">
      <c r="A6" t="s">
        <v>43</v>
      </c>
      <c r="B6" s="18">
        <f>Assumptions!B29*(1+B5)</f>
        <v>1031463226.6961603</v>
      </c>
      <c r="C6" s="18">
        <f>B6*(1+C5)</f>
        <v>1174151612.1314123</v>
      </c>
      <c r="D6" s="18">
        <f>C6*(1+D5)</f>
        <v>1336578922.6307533</v>
      </c>
      <c r="E6" s="18">
        <f>D6*(1+E5)</f>
        <v>1521475759.998228</v>
      </c>
      <c r="F6" s="18">
        <f>E6*(1+F5)</f>
        <v>1731950466.273889</v>
      </c>
    </row>
    <row r="7" spans="1:6" x14ac:dyDescent="0.25">
      <c r="A7" t="s">
        <v>5</v>
      </c>
      <c r="B7" s="10">
        <f>Assumptions!B7</f>
        <v>0.08422081901839154</v>
      </c>
      <c r="C7" s="10">
        <f>Assumptions!B7</f>
        <v>0.08422081901839154</v>
      </c>
      <c r="D7" s="10">
        <f>Assumptions!B7</f>
        <v>0.08422081901839154</v>
      </c>
      <c r="E7" s="10">
        <f>Assumptions!B7</f>
        <v>0.08422081901839154</v>
      </c>
      <c r="F7" s="10">
        <f>Assumptions!B7</f>
        <v>0.08422081901839154</v>
      </c>
    </row>
    <row r="8" spans="1:6" x14ac:dyDescent="0.25">
      <c r="A8" t="s">
        <v>44</v>
      </c>
      <c r="B8" s="18">
        <f>B6*B7</f>
        <v>86870677.73970348</v>
      </c>
      <c r="C8" s="18">
        <f>C6*C7</f>
        <v>98888010.42547233</v>
      </c>
      <c r="D8" s="18">
        <f>D6*D7</f>
        <v>112567771.54668142</v>
      </c>
      <c r="E8" s="18">
        <f>E6*E7</f>
        <v>128139934.62368049</v>
      </c>
      <c r="F8" s="18">
        <f>F6*F7</f>
        <v>145866286.76887205</v>
      </c>
    </row>
    <row r="9" spans="1:6" x14ac:dyDescent="0.25">
      <c r="A9" t="s">
        <v>45</v>
      </c>
      <c r="B9" s="18">
        <f>B8*(1-Assumptions!B8)</f>
        <v>72346085.88298647</v>
      </c>
      <c r="C9" s="18">
        <f>C8*(1-Assumptions!B8)</f>
        <v>82354146.19965763</v>
      </c>
      <c r="D9" s="18">
        <f>D8*(1-Assumptions!B8)</f>
        <v>93746680.4665039</v>
      </c>
      <c r="E9" s="18">
        <f>E8*(1-Assumptions!B8)</f>
        <v>106715211.1222461</v>
      </c>
      <c r="F9" s="18">
        <f>F8*(1-Assumptions!B8)</f>
        <v>121477755.03298579</v>
      </c>
    </row>
    <row r="10" spans="1:6" x14ac:dyDescent="0.25">
      <c r="A10" t="s">
        <v>46</v>
      </c>
      <c r="B10" s="18">
        <f>B6*Assumptions!B9</f>
        <v>34562251.509218454</v>
      </c>
      <c r="C10" s="18">
        <f>C6*Assumptions!B9</f>
        <v>39343451.39809263</v>
      </c>
      <c r="D10" s="18">
        <f>D6*Assumptions!B9</f>
        <v>44786062.83798434</v>
      </c>
      <c r="E10" s="18">
        <f>E6*Assumptions!B9</f>
        <v>50981582.785721816</v>
      </c>
      <c r="F10" s="18">
        <f>F6*Assumptions!B9</f>
        <v>58034165.51126297</v>
      </c>
    </row>
    <row r="11" spans="1:6" x14ac:dyDescent="0.25">
      <c r="A11" t="s">
        <v>47</v>
      </c>
      <c r="B11" s="18">
        <f>-B6*Assumptions!B10</f>
        <v>-44727524.96343107</v>
      </c>
      <c r="C11" s="18">
        <f>-C6*Assumptions!B10</f>
        <v>-50914947.02208182</v>
      </c>
      <c r="D11" s="18">
        <f>-D6*Assumptions!B10</f>
        <v>-57958311.62982687</v>
      </c>
      <c r="E11" s="18">
        <f>-E6*Assumptions!B10</f>
        <v>-65976026.362617135</v>
      </c>
      <c r="F11" s="18">
        <f>-F6*Assumptions!B10</f>
        <v>-75102878.81403133</v>
      </c>
    </row>
    <row r="12" spans="1:6" x14ac:dyDescent="0.25">
      <c r="A12" t="s">
        <v>48</v>
      </c>
      <c r="B12" s="18">
        <f>-(B6-Assumptions!B29)*Assumptions!B11</f>
        <v>-39026080.45278426</v>
      </c>
      <c r="C12" s="18">
        <f>-(C6-B6)*Assumptions!B11</f>
        <v>-44424788.09989109</v>
      </c>
      <c r="D12" s="18">
        <f>-(D6-C6)*Assumptions!B11</f>
        <v>-50570330.78451063</v>
      </c>
      <c r="E12" s="18">
        <f>-(E6-D6)*Assumptions!B11</f>
        <v>-57566022.59766532</v>
      </c>
      <c r="F12" s="18">
        <f>-(F6-E6)*Assumptions!B11</f>
        <v>-65529469.67730574</v>
      </c>
    </row>
    <row r="13" spans="1:6" x14ac:dyDescent="0.25">
      <c r="A13" s="19" t="s">
        <v>49</v>
      </c>
      <c r="B13" s="20">
        <f>B9+B10+B11+B12</f>
        <v>23154731.975989595</v>
      </c>
      <c r="C13" s="20">
        <f>C9+C10+C11+C12</f>
        <v>26357862.47577735</v>
      </c>
      <c r="D13" s="20">
        <f>D9+D10+D11+D12</f>
        <v>30004100.89015074</v>
      </c>
      <c r="E13" s="20">
        <f>E9+E10+E11+E12</f>
        <v>34154744.94768547</v>
      </c>
      <c r="F13" s="20">
        <f>F9+F10+F11+F12</f>
        <v>38879572.052911684</v>
      </c>
    </row>
    <row r="14" spans="1:6" x14ac:dyDescent="0.25">
      <c r="A14" t="s">
        <v>50</v>
      </c>
      <c r="B14" s="21">
        <f>1/(1+Assumptions!$B$26)^(1-0.5*Assumptions!$B$32)</f>
        <v>0.9676076675762528</v>
      </c>
      <c r="C14" s="21">
        <f>1/(1+Assumptions!$B$26)^(2-0.5*Assumptions!$B$32)</f>
        <v>0.9059368042459406</v>
      </c>
      <c r="D14" s="21">
        <f>1/(1+Assumptions!$B$26)^(3-0.5*Assumptions!$B$32)</f>
        <v>0.8481965581599428</v>
      </c>
      <c r="E14" s="21">
        <f>1/(1+Assumptions!$B$26)^(4-0.5*Assumptions!$B$32)</f>
        <v>0.7941364098494699</v>
      </c>
      <c r="F14" s="21">
        <f>1/(1+Assumptions!$B$26)^(5-0.5*Assumptions!$B$32)</f>
        <v>0.7435218068046959</v>
      </c>
    </row>
    <row r="15" spans="1:6" x14ac:dyDescent="0.25">
      <c r="A15" s="19" t="s">
        <v>51</v>
      </c>
      <c r="B15" s="20">
        <f>B13*B14</f>
        <v>22404696.20064057</v>
      </c>
      <c r="C15" s="20">
        <f>C13*C14</f>
        <v>23878557.698059727</v>
      </c>
      <c r="D15" s="20">
        <f>D13*D14</f>
        <v>25449375.105709534</v>
      </c>
      <c r="E15" s="20">
        <f>E13*E14</f>
        <v>27123526.53207926</v>
      </c>
      <c r="F15" s="20">
        <f>F13*F14</f>
        <v>28907809.660574257</v>
      </c>
    </row>
    <row r="17" spans="1:2" x14ac:dyDescent="0.25">
      <c r="A17" s="22" t="s">
        <v>52</v>
      </c>
      <c r="B17" s="23">
        <f>SUM(B15:F15)</f>
        <v>127763965.19706336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38879572.052911684</v>
      </c>
    </row>
    <row r="5" spans="1:2" x14ac:dyDescent="0.25">
      <c r="A5" t="s">
        <v>56</v>
      </c>
      <c r="B5" s="18">
        <f>IF(Assumptions!$B$33=0,B4,B4-Forecast!F11-Forecast!F10-Forecast!F12)</f>
        <v>121477755.03298579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0.24952357010114962</v>
      </c>
    </row>
    <row r="7" spans="1:2" x14ac:dyDescent="0.25">
      <c r="A7" t="s">
        <v>58</v>
      </c>
      <c r="B7" s="18">
        <f>-MAX(Forecast!F9,0)*B6</f>
        <v>-30311563.12370351</v>
      </c>
    </row>
    <row r="8" spans="1:2" x14ac:dyDescent="0.25">
      <c r="A8" t="s">
        <v>59</v>
      </c>
      <c r="B8" s="18">
        <f>IF(OR(Assumptions!$B$33=0,Assumptions!B12&lt;=0),B5,MAX(B5+B7,0))</f>
        <v>91166191.90928228</v>
      </c>
    </row>
    <row r="9" spans="1:2" x14ac:dyDescent="0.25">
      <c r="A9" t="s">
        <v>60</v>
      </c>
      <c r="B9" s="18">
        <f>B8*(1+Assumptions!B12)/(Assumptions!B26-Assumptions!B12)</f>
        <v>2169407442.81705</v>
      </c>
    </row>
    <row r="10" spans="1:2" x14ac:dyDescent="0.25">
      <c r="A10" t="s">
        <v>61</v>
      </c>
      <c r="B10" s="18">
        <f>B9/(1+Assumptions!B26)^(5-0.5*Assumptions!B32)</f>
        <v>1613001741.5788882</v>
      </c>
    </row>
    <row r="11" spans="1:2" x14ac:dyDescent="0.25">
      <c r="A11" t="s">
        <v>62</v>
      </c>
      <c r="B11" s="18">
        <f>Forecast!B17+B10</f>
        <v>1740765706.7759516</v>
      </c>
    </row>
    <row r="12" spans="1:2" x14ac:dyDescent="0.25">
      <c r="A12" t="s">
        <v>63</v>
      </c>
      <c r="B12" s="18">
        <f>-Assumptions!B30</f>
        <v>-197702000</v>
      </c>
    </row>
    <row r="13" spans="1:2" x14ac:dyDescent="0.25">
      <c r="A13" t="s">
        <v>64</v>
      </c>
      <c r="B13" s="18">
        <f>B11+B12</f>
        <v>1543063706.7759516</v>
      </c>
    </row>
    <row r="14" spans="1:2" x14ac:dyDescent="0.25">
      <c r="A14" s="19" t="s">
        <v>65</v>
      </c>
      <c r="B14" s="24">
        <f>B13/Assumptions!B31</f>
        <v>10.726331059968363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203900452.28013504</v>
      </c>
    </row>
    <row r="18" spans="1:2" x14ac:dyDescent="0.25">
      <c r="A18" t="s">
        <v>60</v>
      </c>
      <c r="B18" s="18">
        <f>B17*Assumptions!B13</f>
        <v>1935443021.941307</v>
      </c>
    </row>
    <row r="19" spans="1:2" x14ac:dyDescent="0.25">
      <c r="A19" t="s">
        <v>61</v>
      </c>
      <c r="B19" s="18">
        <f>B18/(1+Assumptions!B26)^(5-0.5*Assumptions!B32)</f>
        <v>1439044092.6413414</v>
      </c>
    </row>
    <row r="20" spans="1:2" x14ac:dyDescent="0.25">
      <c r="A20" t="s">
        <v>62</v>
      </c>
      <c r="B20" s="18">
        <f>Forecast!B17+B19</f>
        <v>1566808057.838405</v>
      </c>
    </row>
    <row r="21" spans="1:2" x14ac:dyDescent="0.25">
      <c r="A21" t="s">
        <v>63</v>
      </c>
      <c r="B21" s="18">
        <f>-Assumptions!B30</f>
        <v>-197702000</v>
      </c>
    </row>
    <row r="22" spans="1:2" x14ac:dyDescent="0.25">
      <c r="A22" t="s">
        <v>64</v>
      </c>
      <c r="B22" s="18">
        <f>B20+B21</f>
        <v>1369106057.838405</v>
      </c>
    </row>
    <row r="23" spans="1:2" x14ac:dyDescent="0.25">
      <c r="A23" s="19" t="s">
        <v>65</v>
      </c>
      <c r="B23" s="25">
        <f>B22/Assumptions!B31</f>
        <v>9.517095611863297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10.726331059968363</v>
      </c>
    </row>
    <row r="29" spans="1:2" x14ac:dyDescent="0.25">
      <c r="A29" s="19" t="s">
        <v>73</v>
      </c>
      <c r="B29" s="12">
        <f>B28/B26-1</f>
        <v>0.6009449343236362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0.048074</v>
      </c>
      <c r="B5" s="31">
        <v>17.397325683988296</v>
      </c>
      <c r="C5" s="31">
        <v>19.43832181732591</v>
      </c>
      <c r="D5" s="31">
        <v>22.349076729339185</v>
      </c>
      <c r="E5" s="31">
        <v>26.85142187295138</v>
      </c>
      <c r="F5" s="31">
        <v>34.771413043939155</v>
      </c>
    </row>
    <row r="6" spans="1:6" x14ac:dyDescent="0.25">
      <c r="A6" s="30">
        <v>0.058074</v>
      </c>
      <c r="B6" s="31">
        <v>12.659883284569842</v>
      </c>
      <c r="C6" s="31">
        <v>13.580774616806101</v>
      </c>
      <c r="D6" s="31">
        <v>14.770216381088716</v>
      </c>
      <c r="E6" s="31">
        <v>16.371695664426866</v>
      </c>
      <c r="F6" s="31">
        <v>18.65307078292669</v>
      </c>
    </row>
    <row r="7" spans="1:6" x14ac:dyDescent="0.25">
      <c r="A7" s="30">
        <v>0.068074</v>
      </c>
      <c r="B7" s="31">
        <v>9.723403397284638</v>
      </c>
      <c r="C7" s="31">
        <v>10.175989213472304</v>
      </c>
      <c r="D7" s="32">
        <v>10.726372537679213</v>
      </c>
      <c r="E7" s="31">
        <v>11.413082618744177</v>
      </c>
      <c r="F7" s="31">
        <v>12.297947519582802</v>
      </c>
    </row>
    <row r="8" spans="1:6" x14ac:dyDescent="0.25">
      <c r="A8" s="30">
        <v>0.078074</v>
      </c>
      <c r="B8" s="31">
        <v>7.73051605994694</v>
      </c>
      <c r="C8" s="31">
        <v>7.95614392177754</v>
      </c>
      <c r="D8" s="31">
        <v>8.218622564032332</v>
      </c>
      <c r="E8" s="31">
        <v>8.529450129290746</v>
      </c>
      <c r="F8" s="31">
        <v>8.90546354574738</v>
      </c>
    </row>
    <row r="9" spans="1:6" x14ac:dyDescent="0.25">
      <c r="A9" s="30">
        <v>0.088074</v>
      </c>
      <c r="B9" s="31">
        <v>6.29321224723086</v>
      </c>
      <c r="C9" s="31">
        <v>6.3984278217403245</v>
      </c>
      <c r="D9" s="31">
        <v>6.515754938182962</v>
      </c>
      <c r="E9" s="31">
        <v>6.6483219006018475</v>
      </c>
      <c r="F9" s="31">
        <v>6.800435859195646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906115000</v>
      </c>
      <c r="C5" s="18">
        <v>587060000</v>
      </c>
      <c r="D5" s="18">
        <v>570145000</v>
      </c>
      <c r="E5" s="18">
        <v>614288000</v>
      </c>
      <c r="F5" s="8" t="s">
        <v>84</v>
      </c>
    </row>
    <row r="6" spans="1:6" x14ac:dyDescent="0.25">
      <c r="A6" t="s">
        <v>44</v>
      </c>
      <c r="B6" s="18">
        <v>96809000</v>
      </c>
      <c r="C6" s="18">
        <v>57067000</v>
      </c>
      <c r="D6" s="18">
        <v>35832000</v>
      </c>
      <c r="E6" s="18">
        <v>42993000</v>
      </c>
      <c r="F6" s="8" t="s">
        <v>85</v>
      </c>
    </row>
    <row r="7" spans="1:6" x14ac:dyDescent="0.25">
      <c r="A7" t="s">
        <v>86</v>
      </c>
      <c r="B7" s="18">
        <v>27482000</v>
      </c>
      <c r="C7" s="18">
        <v>22036000</v>
      </c>
      <c r="D7" s="18">
        <v>19453000</v>
      </c>
      <c r="E7" s="18">
        <v>19686000</v>
      </c>
      <c r="F7" s="8" t="s">
        <v>87</v>
      </c>
    </row>
    <row r="8" spans="1:6" x14ac:dyDescent="0.25">
      <c r="A8" t="s">
        <v>88</v>
      </c>
      <c r="B8" s="18">
        <v>22150000</v>
      </c>
      <c r="C8" s="18">
        <v>54940000</v>
      </c>
      <c r="D8" s="18">
        <v>17133000</v>
      </c>
      <c r="E8" s="18">
        <v>15586000</v>
      </c>
      <c r="F8" s="8" t="s">
        <v>89</v>
      </c>
    </row>
    <row r="9" spans="1:6" x14ac:dyDescent="0.25">
      <c r="A9" t="s">
        <v>90</v>
      </c>
      <c r="B9" s="18">
        <v>99335000</v>
      </c>
      <c r="C9" s="18">
        <v>1706000</v>
      </c>
      <c r="D9" s="18">
        <v>-22677000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262374000</v>
      </c>
      <c r="C10" s="18">
        <v>107644000</v>
      </c>
      <c r="D10" s="18">
        <v>121280000</v>
      </c>
      <c r="E10" s="18">
        <v>96091000</v>
      </c>
      <c r="F10" s="8" t="s">
        <v>93</v>
      </c>
    </row>
    <row r="11" spans="1:6" x14ac:dyDescent="0.25">
      <c r="A11" t="s">
        <v>94</v>
      </c>
      <c r="B11" s="18">
        <v>64672000</v>
      </c>
      <c r="C11" s="18">
        <v>53753000</v>
      </c>
      <c r="D11" s="18">
        <v>77638000</v>
      </c>
      <c r="E11" s="18">
        <v>68144000</v>
      </c>
      <c r="F11" s="8" t="s">
        <v>95</v>
      </c>
    </row>
    <row r="12" spans="1:6" x14ac:dyDescent="0.25">
      <c r="A12" t="s">
        <v>32</v>
      </c>
      <c r="B12" s="34">
        <v>143857550</v>
      </c>
      <c r="C12" s="34">
        <v>142200207</v>
      </c>
      <c r="D12" s="34">
        <v>141831545</v>
      </c>
      <c r="E12" s="34">
        <v>141413787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2026-09-19T00:08:11Z</dcterms:modified>
</cp:coreProperties>
</file>