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<sst xmlns="http://schemas.openxmlformats.org/spreadsheetml/2006/main" count="119" uniqueCount="102">
  <si>
    <t>Swisscom AG (SCMN.SW)</t>
  </si>
  <si>
    <t>DCF Studio - Base case</t>
  </si>
  <si>
    <t>Blue figures on a cream fill are inputs. Every other figure is a formula - change an input and the model reprices. Currency figures are CHF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</si>
  <si>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</si>
  <si>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</si>
  <si>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</si>
  <si>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</si>
  <si>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</si>
  <si>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</si>
  <si>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</si>
  <si>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</si>
  <si>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</si>
  <si>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</si>
  <si>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</si>
  <si>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</si>
  <si>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</si>
  <si>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</si>
  <si>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</si>
  <si>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</si>
  <si>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</si>
  <si>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</si>
  <si>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</si>
  <si>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9.4% is not a credible funding cost, so risk-free + 2bp is assumed instead. Interest expense and reported debt are measuring different things - common for banks, whose interest expense includes deposits that total debt excludes.</t>
  </si>
  <si>
    <t>Market capitalisation (CHF m)</t>
  </si>
  <si>
    <t>Total debt (CHF m)</t>
  </si>
  <si>
    <t>Equity weight</t>
  </si>
  <si>
    <t>Debt weight</t>
  </si>
  <si>
    <t>WACC</t>
  </si>
  <si>
    <t>Base year</t>
  </si>
  <si>
    <t>Revenue, last reported year (CHF m)</t>
  </si>
  <si>
    <t>Fiscal year ended 2025-12-31</t>
  </si>
  <si>
    <t>Net debt (CHF m)</t>
  </si>
  <si>
    <t>Diluted shares</t>
  </si>
  <si>
    <t>Mid-year discounting (1 = yes, 0 = no)</t>
  </si>
  <si>
    <t>Terminal year on a steady-state footing (1 = yes, 0 = no)</t>
  </si>
  <si>
    <t>Forecast cashflows (CHF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</si>
  <si>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</si>
  <si>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</si>
  <si>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</si>
  <si>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</si>
  <si>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</si>
  <si>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</si>
  <si>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</si>
  <si>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</si>
  <si>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</si>
  <si>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</si>
  <si>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</si>
  <si>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</si>
  <si>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</si>
  <si>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</si>
  <si>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</si>
  <si>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</si>
  <si>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</si>
  <si>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(CHF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</si>
  <si>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</si>
  <si>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</si>
  <si>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</si>
  <si>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</si>
  <si>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</si>
  <si>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</si>
  <si>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</si>
  <si>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</si>
  <si>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</si>
  <si>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</si>
  <si>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</si>
  <si>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</si>
  <si>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</si>
  <si>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</si>
  <si>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</si>
  <si>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</si>
  <si>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CHF to CHF</t>
  </si>
  <si>
    <t>Same currency, no conversion</t>
  </si>
  <si>
    <t>Value per share (CHF)</t>
  </si>
  <si>
    <t>Implied upside</t>
  </si>
  <si>
    <t>Value per share (CHF)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</si>
  <si>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</si>
  <si>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</si>
  <si>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(CHF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</si>
  <si>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</si>
  <si>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</si>
  <si>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</si>
  <si>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</si>
  <si>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</si>
  <si>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</si>
  <si>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</si>
  <si>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</si>
  <si>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</si>
  <si>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</si>
  <si>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</si>
  <si>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</si>
  <si>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</si>
  <si>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</si>
  <si>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</si>
  <si>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</si>
  <si>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</si>
  <si>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</si>
  <si>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</si>
  <si>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</si>
  <si>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</si>
  <si>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10.1x the market price. A gap that size is a modelling failure rather than a view - most often an unusable beta, a currency or units mismatch, or a cashflow base that does not represent the business. Read the figures below as diagnostics, not as a call.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</si>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</sst>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0.108389495510961</v>
      </c>
    </row>
    <row r="7" spans="1:2" x14ac:dyDescent="0.25">
      <c r="A7" t="s">
        <v>5</v>
      </c>
      <c r="B7" s="6">
        <v>0.17223628913441888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0.24719488556298252</v>
      </c>
    </row>
    <row r="10" spans="1:2" x14ac:dyDescent="0.25">
      <c r="A10" t="s">
        <v>8</v>
      </c>
      <c r="B10" s="6">
        <v>0.20497640090409577</v>
      </c>
    </row>
    <row r="11" spans="1:2" x14ac:dyDescent="0.25">
      <c r="A11" t="s">
        <v>9</v>
      </c>
      <c r="B11" s="6">
        <v>0.14545454545454545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5.521053911884936</v>
      </c>
    </row>
    <row r="14" spans="1:3" x14ac:dyDescent="0.25">
      <c r="A14" t="s">
        <v>12</v>
      </c>
      <c r="B14" s="6">
        <v>0.1459248532326075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0.60202</v>
      </c>
      <c r="C19" s="8" t="s">
        <v>19</v>
      </c>
    </row>
    <row r="20" spans="1:2" x14ac:dyDescent="0.25">
      <c r="A20" t="s">
        <v>20</v>
      </c>
      <c r="B20" s="10">
        <f>B17+B19*B18</f>
        <v>0.038111099999999995</v>
      </c>
    </row>
    <row r="21" spans="1:3" x14ac:dyDescent="0.25">
      <c r="A21" t="s">
        <v>21</v>
      </c>
      <c r="B21" s="6">
        <v>0.025</v>
      </c>
      <c r="C21" s="8" t="s">
        <v>22</v>
      </c>
    </row>
    <row r="22" spans="1:2" x14ac:dyDescent="0.25">
      <c r="A22" t="s">
        <v>23</v>
      </c>
      <c r="B22" s="11">
        <v>33593561088</v>
      </c>
    </row>
    <row r="23" spans="1:2" x14ac:dyDescent="0.25">
      <c r="A23" t="s">
        <v>24</v>
      </c>
      <c r="B23" s="11">
        <v>3729000000</v>
      </c>
    </row>
    <row r="24" spans="1:2" x14ac:dyDescent="0.25">
      <c r="A24" t="s">
        <v>25</v>
      </c>
      <c r="B24" s="10">
        <f>B22/(B22+B23)</f>
        <v>0.9000872423731138</v>
      </c>
    </row>
    <row r="25" spans="1:2" x14ac:dyDescent="0.25">
      <c r="A25" t="s">
        <v>26</v>
      </c>
      <c r="B25" s="10">
        <f>1-B24</f>
        <v>0.09991275762688623</v>
      </c>
    </row>
    <row r="26" spans="1:2" x14ac:dyDescent="0.25">
      <c r="A26" t="s">
        <v>27</v>
      </c>
      <c r="B26" s="12">
        <f>B24*B20+B25*B21*(1-B8)</f>
        <v>0.0364264610023773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15048000000</v>
      </c>
      <c r="C29" s="8" t="s">
        <v>30</v>
      </c>
    </row>
    <row r="30" spans="1:2" x14ac:dyDescent="0.25">
      <c r="A30" t="s">
        <v>31</v>
      </c>
      <c r="B30" s="11">
        <v>2873000000</v>
      </c>
    </row>
    <row r="31" spans="1:2" x14ac:dyDescent="0.25">
      <c r="A31" t="s">
        <v>32</v>
      </c>
      <c r="B31" s="13">
        <v>51801499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0.108389495510961</v>
      </c>
      <c r="C5" s="10">
        <f>Assumptions!B6</f>
        <v>0.108389495510961</v>
      </c>
      <c r="D5" s="10">
        <f>Assumptions!B6</f>
        <v>0.108389495510961</v>
      </c>
      <c r="E5" s="10">
        <f>Assumptions!B6</f>
        <v>0.108389495510961</v>
      </c>
      <c r="F5" s="10">
        <f>Assumptions!B6</f>
        <v>0.108389495510961</v>
      </c>
    </row>
    <row r="6" spans="1:6" x14ac:dyDescent="0.25">
      <c r="A6" t="s">
        <v>43</v>
      </c>
      <c r="B6" s="18">
        <f>Assumptions!B29*(1+B5)</f>
        <v>16679045128.44894</v>
      </c>
      <c r="C6" s="18">
        <f>B6*(1+C5)</f>
        <v>18486878415.526073</v>
      </c>
      <c r="D6" s="18">
        <f>C6*(1+D5)</f>
        <v>20490661840.55742</v>
      </c>
      <c r="E6" s="18">
        <f>D6*(1+E5)</f>
        <v>22711634340.141136</v>
      </c>
      <c r="F6" s="18">
        <f>E6*(1+F5)</f>
        <v>25173336928.49845</v>
      </c>
    </row>
    <row r="7" spans="1:6" x14ac:dyDescent="0.25">
      <c r="A7" t="s">
        <v>5</v>
      </c>
      <c r="B7" s="10">
        <f>Assumptions!B7</f>
        <v>0.17223628913441888</v>
      </c>
      <c r="C7" s="10">
        <f>Assumptions!B7</f>
        <v>0.17223628913441888</v>
      </c>
      <c r="D7" s="10">
        <f>Assumptions!B7</f>
        <v>0.17223628913441888</v>
      </c>
      <c r="E7" s="10">
        <f>Assumptions!B7</f>
        <v>0.17223628913441888</v>
      </c>
      <c r="F7" s="10">
        <f>Assumptions!B7</f>
        <v>0.17223628913441888</v>
      </c>
    </row>
    <row r="8" spans="1:6" x14ac:dyDescent="0.25">
      <c r="A8" t="s">
        <v>44</v>
      </c>
      <c r="B8" s="18">
        <f>B6*B7</f>
        <v>2872736839.2295523</v>
      </c>
      <c r="C8" s="18">
        <f>C6*C7</f>
        <v>3184111335.9693966</v>
      </c>
      <c r="D8" s="18">
        <f>D6*D7</f>
        <v>3529235557.3258514</v>
      </c>
      <c r="E8" s="18">
        <f>E6*E7</f>
        <v>3911767618.9237456</v>
      </c>
      <c r="F8" s="18">
        <f>F6*F7</f>
        <v>4335762137.6950035</v>
      </c>
    </row>
    <row r="9" spans="1:6" x14ac:dyDescent="0.25">
      <c r="A9" t="s">
        <v>45</v>
      </c>
      <c r="B9" s="18">
        <f>B8*(1-Assumptions!B8)</f>
        <v>2441826313.3451195</v>
      </c>
      <c r="C9" s="18">
        <f>C8*(1-Assumptions!B8)</f>
        <v>2706494635.573987</v>
      </c>
      <c r="D9" s="18">
        <f>D8*(1-Assumptions!B8)</f>
        <v>2999850223.7269735</v>
      </c>
      <c r="E9" s="18">
        <f>E8*(1-Assumptions!B8)</f>
        <v>3325002476.0851836</v>
      </c>
      <c r="F9" s="18">
        <f>F8*(1-Assumptions!B8)</f>
        <v>3685397817.040753</v>
      </c>
    </row>
    <row r="10" spans="1:6" x14ac:dyDescent="0.25">
      <c r="A10" t="s">
        <v>46</v>
      </c>
      <c r="B10" s="18">
        <f>B6*Assumptions!B9</f>
        <v>4122974651.826757</v>
      </c>
      <c r="C10" s="18">
        <f>C6*Assumptions!B9</f>
        <v>4569861794.342739</v>
      </c>
      <c r="D10" s="18">
        <f>D6*Assumptions!B9</f>
        <v>5065186808.786364</v>
      </c>
      <c r="E10" s="18">
        <f>E6*Assumptions!B9</f>
        <v>5614199851.6594925</v>
      </c>
      <c r="F10" s="18">
        <f>F6*Assumptions!B9</f>
        <v>6222720141.278577</v>
      </c>
    </row>
    <row r="11" spans="1:6" x14ac:dyDescent="0.25">
      <c r="A11" t="s">
        <v>47</v>
      </c>
      <c r="B11" s="18">
        <f>-B6*Assumptions!B10</f>
        <v>-3418810640.9464555</v>
      </c>
      <c r="C11" s="18">
        <f>-C6*Assumptions!B10</f>
        <v>-3789373801.5661473</v>
      </c>
      <c r="D11" s="18">
        <f>-D6*Assumptions!B10</f>
        <v>-4200102116.2203546</v>
      </c>
      <c r="E11" s="18">
        <f>-E6*Assumptions!B10</f>
        <v>-4655349065.6919985</v>
      </c>
      <c r="F11" s="18">
        <f>-F6*Assumptions!B10</f>
        <v>-5159940002.349777</v>
      </c>
    </row>
    <row r="12" spans="1:6" x14ac:dyDescent="0.25">
      <c r="A12" t="s">
        <v>48</v>
      </c>
      <c r="B12" s="18">
        <f>-(B6-Assumptions!B29)*Assumptions!B11</f>
        <v>-237242927.7743913</v>
      </c>
      <c r="C12" s="18">
        <f>-(C6-B6)*Assumptions!B11</f>
        <v>-262957569.02940118</v>
      </c>
      <c r="D12" s="18">
        <f>-(D6-C6)*Assumptions!B11</f>
        <v>-291459407.2772866</v>
      </c>
      <c r="E12" s="18">
        <f>-(E6-D6)*Assumptions!B11</f>
        <v>-323050545.3939952</v>
      </c>
      <c r="F12" s="18">
        <f>-(F6-E6)*Assumptions!B11</f>
        <v>-358065831.03379124</v>
      </c>
    </row>
    <row r="13" spans="1:6" x14ac:dyDescent="0.25">
      <c r="A13" s="19" t="s">
        <v>49</v>
      </c>
      <c r="B13" s="20">
        <f>B9+B10+B11+B12</f>
        <v>2908747396.4510303</v>
      </c>
      <c r="C13" s="20">
        <f>C9+C10+C11+C12</f>
        <v>3224025059.3211775</v>
      </c>
      <c r="D13" s="20">
        <f>D9+D10+D11+D12</f>
        <v>3573475509.015696</v>
      </c>
      <c r="E13" s="20">
        <f>E9+E10+E11+E12</f>
        <v>3960802716.658683</v>
      </c>
      <c r="F13" s="20">
        <f>F9+F10+F11+F12</f>
        <v>4390112124.935761</v>
      </c>
    </row>
    <row r="14" spans="1:6" x14ac:dyDescent="0.25">
      <c r="A14" t="s">
        <v>50</v>
      </c>
      <c r="B14" s="21">
        <f>1/(1+Assumptions!$B$26)^(1-0.5*Assumptions!$B$32)</f>
        <v>0.9822697139832935</v>
      </c>
      <c r="C14" s="21">
        <f>1/(1+Assumptions!$B$26)^(2-0.5*Assumptions!$B$32)</f>
        <v>0.9477466573299316</v>
      </c>
      <c r="D14" s="21">
        <f>1/(1+Assumptions!$B$26)^(3-0.5*Assumptions!$B$32)</f>
        <v>0.9144369552407228</v>
      </c>
      <c r="E14" s="21">
        <f>1/(1+Assumptions!$B$26)^(4-0.5*Assumptions!$B$32)</f>
        <v>0.8822979629025752</v>
      </c>
      <c r="F14" s="21">
        <f>1/(1+Assumptions!$B$26)^(5-0.5*Assumptions!$B$32)</f>
        <v>0.85128853430591</v>
      </c>
    </row>
    <row r="15" spans="1:6" x14ac:dyDescent="0.25">
      <c r="A15" s="19" t="s">
        <v>51</v>
      </c>
      <c r="B15" s="20">
        <f>B13*B14</f>
        <v>2857174473.1616035</v>
      </c>
      <c r="C15" s="20">
        <f>C13*C14</f>
        <v>3055558973.1195803</v>
      </c>
      <c r="D15" s="20">
        <f>D13*D14</f>
        <v>3267718064.091605</v>
      </c>
      <c r="E15" s="20">
        <f>E13*E14</f>
        <v>3494608168.366942</v>
      </c>
      <c r="F15" s="20">
        <f>F13*F14</f>
        <v>3737252116.2751684</v>
      </c>
    </row>
    <row r="17" spans="1:2" x14ac:dyDescent="0.25">
      <c r="A17" s="22" t="s">
        <v>52</v>
      </c>
      <c r="B17" s="23">
        <f>SUM(B15:F15)</f>
        <v>16412311795.014896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4390112124.935761</v>
      </c>
    </row>
    <row r="5" spans="1:2" x14ac:dyDescent="0.25">
      <c r="A5" t="s">
        <v>56</v>
      </c>
      <c r="B5" s="18">
        <f>IF(Assumptions!$B$33=0,B4,B4-Forecast!F11-Forecast!F10-Forecast!F12)</f>
        <v>5125563560.295297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0.17132105632581612</v>
      </c>
    </row>
    <row r="7" spans="1:2" x14ac:dyDescent="0.25">
      <c r="A7" t="s">
        <v>58</v>
      </c>
      <c r="B7" s="18">
        <f>-MAX(Forecast!F9,0)*B6</f>
        <v>-878116963.4149011</v>
      </c>
    </row>
    <row r="8" spans="1:2" x14ac:dyDescent="0.25">
      <c r="A8" t="s">
        <v>59</v>
      </c>
      <c r="B8" s="18">
        <f>IF(OR(Assumptions!$B$33=0,Assumptions!B12&lt;=0),B5,MAX(B5+B7,0))</f>
        <v>4247446596.8803954</v>
      </c>
    </row>
    <row r="9" spans="1:2" x14ac:dyDescent="0.25">
      <c r="A9" t="s">
        <v>60</v>
      </c>
      <c r="B9" s="18">
        <f>B8*(1+Assumptions!B12)/(Assumptions!B26-Assumptions!B12)</f>
        <v>381013225433.1961</v>
      </c>
    </row>
    <row r="10" spans="1:2" x14ac:dyDescent="0.25">
      <c r="A10" t="s">
        <v>61</v>
      </c>
      <c r="B10" s="18">
        <f>B9/(1+Assumptions!B26)^(5-0.5*Assumptions!B32)</f>
        <v>324352190230.1928</v>
      </c>
    </row>
    <row r="11" spans="1:2" x14ac:dyDescent="0.25">
      <c r="A11" t="s">
        <v>62</v>
      </c>
      <c r="B11" s="18">
        <f>Forecast!B17+B10</f>
        <v>340764502025.2077</v>
      </c>
    </row>
    <row r="12" spans="1:2" x14ac:dyDescent="0.25">
      <c r="A12" t="s">
        <v>63</v>
      </c>
      <c r="B12" s="18">
        <f>-Assumptions!B30</f>
        <v>-2873000000</v>
      </c>
    </row>
    <row r="13" spans="1:2" x14ac:dyDescent="0.25">
      <c r="A13" t="s">
        <v>64</v>
      </c>
      <c r="B13" s="18">
        <f>B11+B12</f>
        <v>337891502025.2077</v>
      </c>
    </row>
    <row r="14" spans="1:2" x14ac:dyDescent="0.25">
      <c r="A14" s="19" t="s">
        <v>65</v>
      </c>
      <c r="B14" s="24">
        <f>B13/Assumptions!B31</f>
        <v>6522.813210969198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10558482278.97358</v>
      </c>
    </row>
    <row r="18" spans="1:2" x14ac:dyDescent="0.25">
      <c r="A18" t="s">
        <v>60</v>
      </c>
      <c r="B18" s="18">
        <f>B17*Assumptions!B13</f>
        <v>58293949889.89485</v>
      </c>
    </row>
    <row r="19" spans="1:2" x14ac:dyDescent="0.25">
      <c r="A19" t="s">
        <v>61</v>
      </c>
      <c r="B19" s="18">
        <f>B18/(1+Assumptions!B26)^(5-0.5*Assumptions!B32)</f>
        <v>49624971160.67075</v>
      </c>
    </row>
    <row r="20" spans="1:2" x14ac:dyDescent="0.25">
      <c r="A20" t="s">
        <v>62</v>
      </c>
      <c r="B20" s="18">
        <f>Forecast!B17+B19</f>
        <v>66037282955.68565</v>
      </c>
    </row>
    <row r="21" spans="1:2" x14ac:dyDescent="0.25">
      <c r="A21" t="s">
        <v>63</v>
      </c>
      <c r="B21" s="18">
        <f>-Assumptions!B30</f>
        <v>-2873000000</v>
      </c>
    </row>
    <row r="22" spans="1:2" x14ac:dyDescent="0.25">
      <c r="A22" t="s">
        <v>64</v>
      </c>
      <c r="B22" s="18">
        <f>B20+B21</f>
        <v>63164282955.68565</v>
      </c>
    </row>
    <row r="23" spans="1:2" x14ac:dyDescent="0.25">
      <c r="A23" s="19" t="s">
        <v>65</v>
      </c>
      <c r="B23" s="25">
        <f>B22/Assumptions!B31</f>
        <v>1219.3524159539409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648.5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6522.813210969198</v>
      </c>
    </row>
    <row r="29" spans="1:2" x14ac:dyDescent="0.25">
      <c r="A29" s="19" t="s">
        <v>73</v>
      </c>
      <c r="B29" s="12">
        <f>B28/B26-1</f>
        <v>9.058308729327985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0.016426</v>
      </c>
      <c r="B5" s="31">
        <v>58999.756563522955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0.026426</v>
      </c>
      <c r="B6" s="31">
        <v>7282.364415330211</v>
      </c>
      <c r="C6" s="31">
        <v>12321.80084790227</v>
      </c>
      <c r="D6" s="31">
        <v>52679.761706039746</v>
      </c>
      <c r="E6" s="31" t="s">
        <v>76</v>
      </c>
      <c r="F6" s="31" t="s">
        <v>76</v>
      </c>
    </row>
    <row r="7" spans="1:6" x14ac:dyDescent="0.25">
      <c r="A7" s="30">
        <v>0.036426</v>
      </c>
      <c r="B7" s="31">
        <v>3841.4658900692925</v>
      </c>
      <c r="C7" s="31">
        <v>4775.0154425179735</v>
      </c>
      <c r="D7" s="32">
        <v>6523.078744738895</v>
      </c>
      <c r="E7" s="31">
        <v>10986.948396573885</v>
      </c>
      <c r="F7" s="31">
        <v>46734.012367315525</v>
      </c>
    </row>
    <row r="8" spans="1:6" x14ac:dyDescent="0.25">
      <c r="A8" s="30">
        <v>0.046426</v>
      </c>
      <c r="B8" s="31">
        <v>2591.141483594131</v>
      </c>
      <c r="C8" s="31">
        <v>2940.4490626142147</v>
      </c>
      <c r="D8" s="31">
        <v>3451.4963467379243</v>
      </c>
      <c r="E8" s="31">
        <v>4271.981836912196</v>
      </c>
      <c r="F8" s="31">
        <v>5808.134580113961</v>
      </c>
    </row>
    <row r="9" spans="1:6" x14ac:dyDescent="0.25">
      <c r="A9" s="30">
        <v>0.056426</v>
      </c>
      <c r="B9" s="31">
        <v>1944.9855497611393</v>
      </c>
      <c r="C9" s="31">
        <v>2113.568158158031</v>
      </c>
      <c r="D9" s="31">
        <v>2334.952372472235</v>
      </c>
      <c r="E9" s="31">
        <v>2639.109587873646</v>
      </c>
      <c r="F9" s="31">
        <v>3083.987858889854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15048000000</v>
      </c>
      <c r="C5" s="18">
        <v>11017000000</v>
      </c>
      <c r="D5" s="18">
        <v>11072000000</v>
      </c>
      <c r="E5" s="18">
        <v>11051000000</v>
      </c>
      <c r="F5" s="8" t="s">
        <v>85</v>
      </c>
    </row>
    <row r="6" spans="1:6" x14ac:dyDescent="0.25">
      <c r="A6" t="s">
        <v>44</v>
      </c>
      <c r="B6" s="18">
        <v>1925000000</v>
      </c>
      <c r="C6" s="18">
        <v>1953000000</v>
      </c>
      <c r="D6" s="18">
        <v>2205000000</v>
      </c>
      <c r="E6" s="18">
        <v>2040000000</v>
      </c>
      <c r="F6" s="8" t="s">
        <v>86</v>
      </c>
    </row>
    <row r="7" spans="1:6" x14ac:dyDescent="0.25">
      <c r="A7" t="s">
        <v>87</v>
      </c>
      <c r="B7" s="18">
        <v>4680000000</v>
      </c>
      <c r="C7" s="18">
        <v>2779000000</v>
      </c>
      <c r="D7" s="18">
        <v>2366000000</v>
      </c>
      <c r="E7" s="18">
        <v>2341000000</v>
      </c>
      <c r="F7" s="8" t="s">
        <v>88</v>
      </c>
    </row>
    <row r="8" spans="1:6" x14ac:dyDescent="0.25">
      <c r="A8" t="s">
        <v>89</v>
      </c>
      <c r="B8" s="18">
        <v>3008000000</v>
      </c>
      <c r="C8" s="18">
        <v>2288000000</v>
      </c>
      <c r="D8" s="18">
        <v>2272000000</v>
      </c>
      <c r="E8" s="18">
        <v>2289000000</v>
      </c>
      <c r="F8" s="8" t="s">
        <v>90</v>
      </c>
    </row>
    <row r="9" spans="1:6" x14ac:dyDescent="0.25">
      <c r="A9" t="s">
        <v>91</v>
      </c>
      <c r="B9" s="18">
        <v>-11000000</v>
      </c>
      <c r="C9" s="18">
        <v>-8000000</v>
      </c>
      <c r="D9" s="18">
        <v>164000000</v>
      </c>
      <c r="E9" s="18">
        <v>15000000</v>
      </c>
      <c r="F9" s="8" t="s">
        <v>92</v>
      </c>
    </row>
    <row r="10" spans="1:6" x14ac:dyDescent="0.25">
      <c r="A10" t="s">
        <v>93</v>
      </c>
      <c r="B10" s="18">
        <v>3729000000</v>
      </c>
      <c r="C10" s="18">
        <v>3965000000</v>
      </c>
      <c r="D10" s="18">
        <v>2028000000</v>
      </c>
      <c r="E10" s="18">
        <v>1911000000</v>
      </c>
      <c r="F10" s="8" t="s">
        <v>94</v>
      </c>
    </row>
    <row r="11" spans="1:6" x14ac:dyDescent="0.25">
      <c r="A11" t="s">
        <v>95</v>
      </c>
      <c r="B11" s="18">
        <v>856000000</v>
      </c>
      <c r="C11" s="18">
        <v>1589000000</v>
      </c>
      <c r="D11" s="18">
        <v>198000000</v>
      </c>
      <c r="E11" s="18">
        <v>185000000</v>
      </c>
      <c r="F11" s="8" t="s">
        <v>96</v>
      </c>
    </row>
    <row r="12" spans="1:6" x14ac:dyDescent="0.25">
      <c r="A12" t="s">
        <v>32</v>
      </c>
      <c r="B12" s="34">
        <v>51801499</v>
      </c>
      <c r="C12" s="34">
        <v>51801712</v>
      </c>
      <c r="D12" s="34">
        <v>51801652</v>
      </c>
      <c r="E12" s="34">
        <v>51800968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2026-09-19T00:06:07Z</dcterms:modified>
</cp:coreProperties>
</file>