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<sst xmlns="http://schemas.openxmlformats.org/spreadsheetml/2006/main" count="113" uniqueCount="101">
  <si>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Sacyr, S.A. (SCYR.MC)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</si>
  <si>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</si>
  <si>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</si>
  <si>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</si>
  <si>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</si>
  <si>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</si>
  <si>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</si>
  <si>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</si>
  <si>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</si>
  <si>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</si>
  <si>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</si>
  <si>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</si>
  <si>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</si>
  <si>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</si>
  <si>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</si>
  <si>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</si>
  <si>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</si>
  <si>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</si>
  <si>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</si>
  <si>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</si>
  <si>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</si>
  <si>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</si>
  <si>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</si>
  <si>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</si>
  <si>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</si>
  <si>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</si>
  <si>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</si>
  <si>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</si>
  <si>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</si>
  <si>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</si>
  <si>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</si>
  <si>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</si>
  <si>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</si>
  <si>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</si>
  <si>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</si>
  <si>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</si>
  <si>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</si>
  <si>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</si>
  <si>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</si>
  <si>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</si>
  <si>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</si>
  <si>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</si>
  <si>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</si>
  <si>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</si>
  <si>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</si>
  <si>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</si>
  <si>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</si>
  <si>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</si>
  <si>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</si>
  <si>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</si>
  <si>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</si>
  <si>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</si>
  <si>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</si>
  <si>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</si>
  <si>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</si>
  <si>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</si>
  <si>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</si>
  <si>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</si>
  <si>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</si>
  <si>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</si>
  <si>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</si>
  <si>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</si>
  <si>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</si>
  <si>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</si>
  <si>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</si>
  <si>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</si>
  <si>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</si>
  <si>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</si>
  <si>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</si>
  <si>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</si>
  <si>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</si>
  <si>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</si>
  <si>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</si>
  <si>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</si>
  <si>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</si>
  <si>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</si>
  <si>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</si>
  <si>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</si>
  <si>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</si>
  <si>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</si>
  <si>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</si>
  <si>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</si>
  <si>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</si>
  <si>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</si>
  <si>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</si>
  <si>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</si>
  <si>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</si>
  <si>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</si>
  <si>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</si>
  <si>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</si>
  <si>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</si>
  <si>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</si>
  <si>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</si>
  <si>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</si>
  <si>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</si>
  <si>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</si>
  <si>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</si>
  <si>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</si>
  <si>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7.3% of revenue against depreciation of 3.5%.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</si>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</sst>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-0.021728576220690687</v>
      </c>
    </row>
    <row r="7" spans="1:2" x14ac:dyDescent="0.25">
      <c r="A7" t="s">
        <v>5</v>
      </c>
      <c r="B7" s="6">
        <v>0.24977110163327154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0.035095123664347985</v>
      </c>
    </row>
    <row r="10" spans="1:2" x14ac:dyDescent="0.25">
      <c r="A10" t="s">
        <v>8</v>
      </c>
      <c r="B10" s="6">
        <v>0.07332857678243355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7.960244508389306</v>
      </c>
    </row>
    <row r="14" spans="1:3" x14ac:dyDescent="0.25">
      <c r="A14" t="s">
        <v>12</v>
      </c>
      <c r="B14" s="6">
        <v>0.08578543958273252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0.84121</v>
      </c>
      <c r="C19" s="8" t="s">
        <v>19</v>
      </c>
    </row>
    <row r="20" spans="1:2" x14ac:dyDescent="0.25">
      <c r="A20" t="s">
        <v>20</v>
      </c>
      <c r="B20" s="10">
        <f>B17+B19*B18</f>
        <v>0.09667865</v>
      </c>
    </row>
    <row r="21" spans="1:3" x14ac:dyDescent="0.25">
      <c r="A21" t="s">
        <v>21</v>
      </c>
      <c r="B21" s="6">
        <v>0.07188229543923572</v>
      </c>
      <c r="C21" s="8" t="s">
        <v>22</v>
      </c>
    </row>
    <row r="22" spans="1:2" x14ac:dyDescent="0.25">
      <c r="A22" t="s">
        <v>23</v>
      </c>
      <c r="B22" s="11">
        <v>3277530368</v>
      </c>
    </row>
    <row r="23" spans="1:2" x14ac:dyDescent="0.25">
      <c r="A23" t="s">
        <v>24</v>
      </c>
      <c r="B23" s="11">
        <v>9347476000</v>
      </c>
    </row>
    <row r="24" spans="1:2" x14ac:dyDescent="0.25">
      <c r="A24" t="s">
        <v>25</v>
      </c>
      <c r="B24" s="10">
        <f>B22/(B22+B23)</f>
        <v>0.2596062348378215</v>
      </c>
    </row>
    <row r="25" spans="1:2" x14ac:dyDescent="0.25">
      <c r="A25" t="s">
        <v>26</v>
      </c>
      <c r="B25" s="10">
        <f>1-B24</f>
        <v>0.7403937651621785</v>
      </c>
    </row>
    <row r="26" spans="1:2" x14ac:dyDescent="0.25">
      <c r="A26" t="s">
        <v>27</v>
      </c>
      <c r="B26" s="12">
        <f>B24*B20+B25*B21*(1-B8)</f>
        <v>0.06501428284227041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4659539000</v>
      </c>
      <c r="C29" s="8" t="s">
        <v>30</v>
      </c>
    </row>
    <row r="30" spans="1:2" x14ac:dyDescent="0.25">
      <c r="A30" t="s">
        <v>31</v>
      </c>
      <c r="B30" s="11">
        <v>7276122000</v>
      </c>
    </row>
    <row r="31" spans="1:2" x14ac:dyDescent="0.25">
      <c r="A31" t="s">
        <v>32</v>
      </c>
      <c r="B31" s="13">
        <v>789755000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-0.021728576220690687</v>
      </c>
      <c r="C5" s="10">
        <f>Assumptions!B6</f>
        <v>-0.021728576220690687</v>
      </c>
      <c r="D5" s="10">
        <f>Assumptions!B6</f>
        <v>-0.021728576220690687</v>
      </c>
      <c r="E5" s="10">
        <f>Assumptions!B6</f>
        <v>-0.021728576220690687</v>
      </c>
      <c r="F5" s="10">
        <f>Assumptions!B6</f>
        <v>-0.021728576220690687</v>
      </c>
    </row>
    <row r="6" spans="1:6" x14ac:dyDescent="0.25">
      <c r="A6" t="s">
        <v>43</v>
      </c>
      <c r="B6" s="18">
        <f>Assumptions!B29*(1+B5)</f>
        <v>4558293851.685219</v>
      </c>
      <c r="C6" s="18">
        <f>B6*(1+C5)</f>
        <v>4459248616.292571</v>
      </c>
      <c r="D6" s="18">
        <f>C6*(1+D5)</f>
        <v>4362355492.846449</v>
      </c>
      <c r="E6" s="18">
        <f>D6*(1+E5)</f>
        <v>4267567719.0183864</v>
      </c>
      <c r="F6" s="18">
        <f>E6*(1+F5)</f>
        <v>4174839548.5587363</v>
      </c>
    </row>
    <row r="7" spans="1:6" x14ac:dyDescent="0.25">
      <c r="A7" t="s">
        <v>5</v>
      </c>
      <c r="B7" s="10">
        <f>Assumptions!B7</f>
        <v>0.24977110163327154</v>
      </c>
      <c r="C7" s="10">
        <f>Assumptions!B7</f>
        <v>0.24977110163327154</v>
      </c>
      <c r="D7" s="10">
        <f>Assumptions!B7</f>
        <v>0.24977110163327154</v>
      </c>
      <c r="E7" s="10">
        <f>Assumptions!B7</f>
        <v>0.24977110163327154</v>
      </c>
      <c r="F7" s="10">
        <f>Assumptions!B7</f>
        <v>0.24977110163327154</v>
      </c>
    </row>
    <row r="8" spans="1:6" x14ac:dyDescent="0.25">
      <c r="A8" t="s">
        <v>44</v>
      </c>
      <c r="B8" s="18">
        <f>B6*B7</f>
        <v>1138530076.9035857</v>
      </c>
      <c r="C8" s="18">
        <f>C6*C7</f>
        <v>1113791439.3480372</v>
      </c>
      <c r="D8" s="18">
        <f>D6*D7</f>
        <v>1089590337.1642108</v>
      </c>
      <c r="E8" s="18">
        <f>E6*E7</f>
        <v>1065915090.4738102</v>
      </c>
      <c r="F8" s="18">
        <f>F6*F7</f>
        <v>1042754273.1856656</v>
      </c>
    </row>
    <row r="9" spans="1:6" x14ac:dyDescent="0.25">
      <c r="A9" t="s">
        <v>45</v>
      </c>
      <c r="B9" s="18">
        <f>B8*(1-Assumptions!B8)</f>
        <v>853897557.6776893</v>
      </c>
      <c r="C9" s="18">
        <f>C8*(1-Assumptions!B8)</f>
        <v>835343579.5110279</v>
      </c>
      <c r="D9" s="18">
        <f>D8*(1-Assumptions!B8)</f>
        <v>817192752.8731581</v>
      </c>
      <c r="E9" s="18">
        <f>E8*(1-Assumptions!B8)</f>
        <v>799436317.8553576</v>
      </c>
      <c r="F9" s="18">
        <f>F8*(1-Assumptions!B8)</f>
        <v>782065704.8892492</v>
      </c>
    </row>
    <row r="10" spans="1:6" x14ac:dyDescent="0.25">
      <c r="A10" t="s">
        <v>46</v>
      </c>
      <c r="B10" s="18">
        <f>B6*Assumptions!B9</f>
        <v>159973886.42332986</v>
      </c>
      <c r="C10" s="18">
        <f>C6*Assumptions!B9</f>
        <v>156497881.63886043</v>
      </c>
      <c r="D10" s="18">
        <f>D6*Assumptions!B9</f>
        <v>153097405.4892938</v>
      </c>
      <c r="E10" s="18">
        <f>E6*Assumptions!B9</f>
        <v>149770816.84492972</v>
      </c>
      <c r="F10" s="18">
        <f>F6*Assumptions!B9</f>
        <v>146516510.23547956</v>
      </c>
    </row>
    <row r="11" spans="1:6" x14ac:dyDescent="0.25">
      <c r="A11" t="s">
        <v>47</v>
      </c>
      <c r="B11" s="18">
        <f>-B6*Assumptions!B10</f>
        <v>-334253200.70019436</v>
      </c>
      <c r="C11" s="18">
        <f>-C6*Assumptions!B10</f>
        <v>-326990354.5517704</v>
      </c>
      <c r="D11" s="18">
        <f>-D6*Assumptions!B10</f>
        <v>-319885319.7094616</v>
      </c>
      <c r="E11" s="18">
        <f>-E6*Assumptions!B10</f>
        <v>-312934667.1582746</v>
      </c>
      <c r="F11" s="18">
        <f>-F6*Assumptions!B10</f>
        <v>-306135042.39082956</v>
      </c>
    </row>
    <row r="12" spans="1:6" x14ac:dyDescent="0.25">
      <c r="A12" t="s">
        <v>48</v>
      </c>
      <c r="B12" s="18">
        <f>-(B6-Assumptions!B29)*Assumptions!B11</f>
        <v>101245148.31478119</v>
      </c>
      <c r="C12" s="18">
        <f>-(C6-B6)*Assumptions!B11</f>
        <v>99045235.39264774</v>
      </c>
      <c r="D12" s="18">
        <f>-(D6-C6)*Assumptions!B11</f>
        <v>96893123.44612217</v>
      </c>
      <c r="E12" s="18">
        <f>-(E6-D6)*Assumptions!B11</f>
        <v>94787773.82806253</v>
      </c>
      <c r="F12" s="18">
        <f>-(F6-E6)*Assumptions!B11</f>
        <v>92728170.45965004</v>
      </c>
    </row>
    <row r="13" spans="1:6" x14ac:dyDescent="0.25">
      <c r="A13" s="19" t="s">
        <v>49</v>
      </c>
      <c r="B13" s="20">
        <f>B9+B10+B11+B12</f>
        <v>780863391.715606</v>
      </c>
      <c r="C13" s="20">
        <f>C9+C10+C11+C12</f>
        <v>763896341.9907658</v>
      </c>
      <c r="D13" s="20">
        <f>D9+D10+D11+D12</f>
        <v>747297962.0991125</v>
      </c>
      <c r="E13" s="20">
        <f>E9+E10+E11+E12</f>
        <v>731060241.3700752</v>
      </c>
      <c r="F13" s="20">
        <f>F9+F10+F11+F12</f>
        <v>715175343.1935493</v>
      </c>
    </row>
    <row r="14" spans="1:6" x14ac:dyDescent="0.25">
      <c r="A14" t="s">
        <v>50</v>
      </c>
      <c r="B14" s="21">
        <f>1/(1+Assumptions!$B$26)^(1-0.5*Assumptions!$B$32)</f>
        <v>0.9689966685797435</v>
      </c>
      <c r="C14" s="21">
        <f>1/(1+Assumptions!$B$26)^(2-0.5*Assumptions!$B$32)</f>
        <v>0.9098438248111765</v>
      </c>
      <c r="D14" s="21">
        <f>1/(1+Assumptions!$B$26)^(3-0.5*Assumptions!$B$32)</f>
        <v>0.8543019933808016</v>
      </c>
      <c r="E14" s="21">
        <f>1/(1+Assumptions!$B$26)^(4-0.5*Assumptions!$B$32)</f>
        <v>0.8021507383927964</v>
      </c>
      <c r="F14" s="21">
        <f>1/(1+Assumptions!$B$26)^(5-0.5*Assumptions!$B$32)</f>
        <v>0.7531830805611794</v>
      </c>
    </row>
    <row r="15" spans="1:6" x14ac:dyDescent="0.25">
      <c r="A15" s="19" t="s">
        <v>51</v>
      </c>
      <c r="B15" s="20">
        <f>B13*B14</f>
        <v>756654025.1883014</v>
      </c>
      <c r="C15" s="20">
        <f>C13*C14</f>
        <v>695026369.556145</v>
      </c>
      <c r="D15" s="20">
        <f>D13*D14</f>
        <v>638418138.6706825</v>
      </c>
      <c r="E15" s="20">
        <f>E13*E14</f>
        <v>586420512.4246218</v>
      </c>
      <c r="F15" s="20">
        <f>F13*F14</f>
        <v>538657968.1279162</v>
      </c>
    </row>
    <row r="17" spans="1:2" x14ac:dyDescent="0.25">
      <c r="A17" s="22" t="s">
        <v>52</v>
      </c>
      <c r="B17" s="23">
        <f>SUM(B15:F15)</f>
        <v>3215177013.9676666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715175343.1935493</v>
      </c>
    </row>
    <row r="5" spans="1:2" x14ac:dyDescent="0.25">
      <c r="A5" t="s">
        <v>56</v>
      </c>
      <c r="B5" s="18">
        <f>IF(Assumptions!$B$33=0,B4,B4-Forecast!F11-Forecast!F10-Forecast!F12)</f>
        <v>782065704.8892492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0.2914247466889728</v>
      </c>
    </row>
    <row r="7" spans="1:2" x14ac:dyDescent="0.25">
      <c r="A7" t="s">
        <v>58</v>
      </c>
      <c r="B7" s="18">
        <f>-MAX(Forecast!F9,0)*B6</f>
        <v>-227913299.9414824</v>
      </c>
    </row>
    <row r="8" spans="1:2" x14ac:dyDescent="0.25">
      <c r="A8" t="s">
        <v>59</v>
      </c>
      <c r="B8" s="18">
        <f>IF(OR(Assumptions!$B$33=0,Assumptions!B12&lt;=0),B5,MAX(B5+B7,0))</f>
        <v>554152404.9477668</v>
      </c>
    </row>
    <row r="9" spans="1:2" x14ac:dyDescent="0.25">
      <c r="A9" t="s">
        <v>60</v>
      </c>
      <c r="B9" s="18">
        <f>B8*(1+Assumptions!B12)/(Assumptions!B26-Assumptions!B12)</f>
        <v>14195086722.169832</v>
      </c>
    </row>
    <row r="10" spans="1:2" x14ac:dyDescent="0.25">
      <c r="A10" t="s">
        <v>61</v>
      </c>
      <c r="B10" s="18">
        <f>B9/(1+Assumptions!B26)^(5-0.5*Assumptions!B32)</f>
        <v>10691499146.236969</v>
      </c>
    </row>
    <row r="11" spans="1:2" x14ac:dyDescent="0.25">
      <c r="A11" t="s">
        <v>62</v>
      </c>
      <c r="B11" s="18">
        <f>Forecast!B17+B10</f>
        <v>13906676160.204636</v>
      </c>
    </row>
    <row r="12" spans="1:2" x14ac:dyDescent="0.25">
      <c r="A12" t="s">
        <v>63</v>
      </c>
      <c r="B12" s="18">
        <f>-Assumptions!B30</f>
        <v>-7276122000</v>
      </c>
    </row>
    <row r="13" spans="1:2" x14ac:dyDescent="0.25">
      <c r="A13" t="s">
        <v>64</v>
      </c>
      <c r="B13" s="18">
        <f>B11+B12</f>
        <v>6630554160.204636</v>
      </c>
    </row>
    <row r="14" spans="1:2" x14ac:dyDescent="0.25">
      <c r="A14" s="19" t="s">
        <v>65</v>
      </c>
      <c r="B14" s="24">
        <f>B13/Assumptions!B31</f>
        <v>8.395710264834836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1189270783.4211452</v>
      </c>
    </row>
    <row r="18" spans="1:2" x14ac:dyDescent="0.25">
      <c r="A18" t="s">
        <v>60</v>
      </c>
      <c r="B18" s="18">
        <f>B17*Assumptions!B13</f>
        <v>9466886222.716019</v>
      </c>
    </row>
    <row r="19" spans="1:2" x14ac:dyDescent="0.25">
      <c r="A19" t="s">
        <v>61</v>
      </c>
      <c r="B19" s="18">
        <f>B18/(1+Assumptions!B26)^(5-0.5*Assumptions!B32)</f>
        <v>7130298528.547439</v>
      </c>
    </row>
    <row r="20" spans="1:2" x14ac:dyDescent="0.25">
      <c r="A20" t="s">
        <v>62</v>
      </c>
      <c r="B20" s="18">
        <f>Forecast!B17+B19</f>
        <v>10345475542.515106</v>
      </c>
    </row>
    <row r="21" spans="1:2" x14ac:dyDescent="0.25">
      <c r="A21" t="s">
        <v>63</v>
      </c>
      <c r="B21" s="18">
        <f>-Assumptions!B30</f>
        <v>-7276122000</v>
      </c>
    </row>
    <row r="22" spans="1:2" x14ac:dyDescent="0.25">
      <c r="A22" t="s">
        <v>64</v>
      </c>
      <c r="B22" s="18">
        <f>B20+B21</f>
        <v>3069353542.515106</v>
      </c>
    </row>
    <row r="23" spans="1:2" x14ac:dyDescent="0.25">
      <c r="A23" s="19" t="s">
        <v>65</v>
      </c>
      <c r="B23" s="25">
        <f>B22/Assumptions!B31</f>
        <v>3.886462944223343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4.122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8.395710264834836</v>
      </c>
    </row>
    <row r="29" spans="1:2" x14ac:dyDescent="0.25">
      <c r="A29" s="19" t="s">
        <v>73</v>
      </c>
      <c r="B29" s="12">
        <f>B28/B26-1</f>
        <v>1.0368050133029687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0.045014</v>
      </c>
      <c r="B5" s="31">
        <v>17.709343108547724</v>
      </c>
      <c r="C5" s="31">
        <v>20.44344662976081</v>
      </c>
      <c r="D5" s="31">
        <v>24.51999059332817</v>
      </c>
      <c r="E5" s="31">
        <v>31.280163665515612</v>
      </c>
      <c r="F5" s="31">
        <v>44.743781766964325</v>
      </c>
    </row>
    <row r="6" spans="1:6" x14ac:dyDescent="0.25">
      <c r="A6" s="30">
        <v>0.055014</v>
      </c>
      <c r="B6" s="31">
        <v>11.23704746728963</v>
      </c>
      <c r="C6" s="31">
        <v>12.333392235662087</v>
      </c>
      <c r="D6" s="31">
        <v>13.779902816140634</v>
      </c>
      <c r="E6" s="31">
        <v>15.786561106126394</v>
      </c>
      <c r="F6" s="31">
        <v>18.773184015912552</v>
      </c>
    </row>
    <row r="7" spans="1:6" x14ac:dyDescent="0.25">
      <c r="A7" s="30">
        <v>0.065014</v>
      </c>
      <c r="B7" s="31">
        <v>7.34780717850041</v>
      </c>
      <c r="C7" s="31">
        <v>7.818439538315772</v>
      </c>
      <c r="D7" s="32">
        <v>8.395824656293934</v>
      </c>
      <c r="E7" s="31">
        <v>9.125695421349112</v>
      </c>
      <c r="F7" s="31">
        <v>10.084259093631726</v>
      </c>
    </row>
    <row r="8" spans="1:6" x14ac:dyDescent="0.25">
      <c r="A8" s="30">
        <v>0.075014</v>
      </c>
      <c r="B8" s="31">
        <v>4.75061382865622</v>
      </c>
      <c r="C8" s="31">
        <v>4.938481377251911</v>
      </c>
      <c r="D8" s="31">
        <v>5.155577943752889</v>
      </c>
      <c r="E8" s="31">
        <v>5.411643503912925</v>
      </c>
      <c r="F8" s="31">
        <v>5.721286317463236</v>
      </c>
    </row>
    <row r="9" spans="1:6" x14ac:dyDescent="0.25">
      <c r="A9" s="30">
        <v>0.085014</v>
      </c>
      <c r="B9" s="31">
        <v>2.892018749948599</v>
      </c>
      <c r="C9" s="31">
        <v>2.9393510525807045</v>
      </c>
      <c r="D9" s="31">
        <v>2.9879083694940767</v>
      </c>
      <c r="E9" s="31">
        <v>3.0380247104720395</v>
      </c>
      <c r="F9" s="31">
        <v>3.0901676518125925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4659539000</v>
      </c>
      <c r="C5" s="18">
        <v>4571004000</v>
      </c>
      <c r="D5" s="18">
        <v>4609428000</v>
      </c>
      <c r="E5" s="18">
        <v>4976968000</v>
      </c>
      <c r="F5" s="8" t="s">
        <v>84</v>
      </c>
    </row>
    <row r="6" spans="1:6" x14ac:dyDescent="0.25">
      <c r="A6" t="s">
        <v>44</v>
      </c>
      <c r="B6" s="18">
        <v>1141315000</v>
      </c>
      <c r="C6" s="18">
        <v>1185225000</v>
      </c>
      <c r="D6" s="18">
        <v>1147683000</v>
      </c>
      <c r="E6" s="18">
        <v>1223661000</v>
      </c>
      <c r="F6" s="8" t="s">
        <v>85</v>
      </c>
    </row>
    <row r="7" spans="1:6" x14ac:dyDescent="0.25">
      <c r="A7" t="s">
        <v>86</v>
      </c>
      <c r="B7" s="18">
        <v>184480000</v>
      </c>
      <c r="C7" s="18">
        <v>162839000</v>
      </c>
      <c r="D7" s="18">
        <v>158477000</v>
      </c>
      <c r="E7" s="18">
        <v>153207000</v>
      </c>
      <c r="F7" s="8" t="s">
        <v>87</v>
      </c>
    </row>
    <row r="8" spans="1:6" x14ac:dyDescent="0.25">
      <c r="A8" t="s">
        <v>88</v>
      </c>
      <c r="B8" s="18">
        <v>255053000</v>
      </c>
      <c r="C8" s="18">
        <v>332546000</v>
      </c>
      <c r="D8" s="18">
        <v>223275000</v>
      </c>
      <c r="E8" s="18">
        <v>584229000</v>
      </c>
      <c r="F8" s="8" t="s">
        <v>89</v>
      </c>
    </row>
    <row r="9" spans="1:6" x14ac:dyDescent="0.25">
      <c r="A9" t="s">
        <v>90</v>
      </c>
      <c r="B9" s="18">
        <v>-844989000</v>
      </c>
      <c r="C9" s="18">
        <v>-785782000</v>
      </c>
      <c r="D9" s="18">
        <v>-421164000</v>
      </c>
      <c r="E9" s="18">
        <v>-496858000</v>
      </c>
      <c r="F9" s="8" t="s">
        <v>91</v>
      </c>
    </row>
    <row r="10" spans="1:6" x14ac:dyDescent="0.25">
      <c r="A10" t="s">
        <v>92</v>
      </c>
      <c r="B10" s="18">
        <v>9347476000</v>
      </c>
      <c r="C10" s="18">
        <v>10342908000</v>
      </c>
      <c r="D10" s="18">
        <v>9011768000</v>
      </c>
      <c r="E10" s="18">
        <v>10061593000</v>
      </c>
      <c r="F10" s="8" t="s">
        <v>93</v>
      </c>
    </row>
    <row r="11" spans="1:6" x14ac:dyDescent="0.25">
      <c r="A11" t="s">
        <v>94</v>
      </c>
      <c r="B11" s="18">
        <v>2071354000</v>
      </c>
      <c r="C11" s="18">
        <v>1825469000</v>
      </c>
      <c r="D11" s="18">
        <v>1750817000</v>
      </c>
      <c r="E11" s="18">
        <v>1773919000</v>
      </c>
      <c r="F11" s="8" t="s">
        <v>95</v>
      </c>
    </row>
    <row r="12" spans="1:6" x14ac:dyDescent="0.25">
      <c r="A12" t="s">
        <v>32</v>
      </c>
      <c r="B12" s="34">
        <v>789755000</v>
      </c>
      <c r="C12" s="34">
        <v>734622000</v>
      </c>
      <c r="D12" s="34">
        <v>718131000</v>
      </c>
      <c r="E12" s="34">
        <v>697136290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2026-09-19T00:06:31Z</dcterms:modified>
</cp:coreProperties>
</file>