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<sst xmlns="http://schemas.openxmlformats.org/spreadsheetml/2006/main" count="114" uniqueCount="102">
  <si>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Steadfast Group Limited (SDF.AX)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</si>
  <si>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</si>
  <si>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</si>
  <si>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</si>
  <si>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</si>
  <si>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</si>
  <si>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</si>
  <si>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</si>
  <si>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</si>
  <si>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</si>
  <si>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</si>
  <si>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</si>
  <si>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</si>
  <si>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</si>
  <si>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</si>
  <si>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</si>
  <si>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</si>
  <si>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</si>
  <si>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</si>
  <si>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</si>
  <si>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</si>
  <si>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</si>
  <si>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</si>
  <si>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</si>
  <si>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</si>
  <si>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</si>
  <si>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</si>
  <si>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</si>
  <si>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</si>
  <si>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</si>
  <si>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</si>
  <si>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</si>
  <si>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</si>
  <si>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</si>
  <si>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</si>
  <si>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</si>
  <si>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</si>
  <si>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</si>
  <si>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</si>
  <si>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</si>
  <si>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</si>
  <si>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</si>
  <si>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</si>
  <si>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</si>
  <si>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</si>
  <si>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</si>
  <si>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</si>
  <si>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</si>
  <si>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</si>
  <si>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</si>
  <si>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</si>
  <si>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</si>
  <si>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</si>
  <si>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</si>
  <si>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</si>
  <si>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</si>
  <si>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</si>
  <si>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</si>
  <si>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</si>
  <si>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</si>
  <si>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</si>
  <si>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</si>
  <si>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</si>
  <si>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</si>
  <si>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</si>
  <si>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</si>
  <si>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</si>
  <si>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</si>
  <si>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</si>
  <si>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</si>
  <si>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</si>
  <si>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</si>
  <si>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</si>
  <si>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</si>
  <si>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</si>
  <si>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</si>
  <si>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</si>
  <si>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</si>
  <si>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</si>
  <si>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</si>
  <si>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</si>
  <si>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</si>
  <si>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</si>
  <si>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</si>
  <si>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</si>
  <si>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</si>
  <si>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</si>
  <si>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</si>
  <si>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</si>
  <si>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</si>
  <si>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</si>
  <si>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</si>
  <si>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</si>
  <si>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</si>
  <si>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</si>
  <si>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</si>
  <si>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</si>
  <si>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</si>
  <si>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</si>
  <si>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</si>
  <si>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1.26% of revenue against depreciation and amortisation of 7.93%. A business cannot depreciate more than it invests indefinitely. Capex has been set to 7.93%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</si>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</sst>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0.15553458378911533</v>
      </c>
    </row>
    <row r="7" spans="1:2" x14ac:dyDescent="0.25">
      <c r="A7" t="s">
        <v>5</v>
      </c>
      <c r="B7" s="6">
        <v>0.20796513804772246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0.07933322884837461</v>
      </c>
    </row>
    <row r="10" spans="1:2" x14ac:dyDescent="0.25">
      <c r="A10" t="s">
        <v>8</v>
      </c>
      <c r="B10" s="6">
        <v>0.07933322884837461</v>
      </c>
    </row>
    <row r="11" spans="1:2" x14ac:dyDescent="0.25">
      <c r="A11" t="s">
        <v>9</v>
      </c>
      <c r="B11" s="6">
        <v>-0.7448024948024948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14.473387375886524</v>
      </c>
    </row>
    <row r="14" spans="1:3" x14ac:dyDescent="0.25">
      <c r="A14" t="s">
        <v>12</v>
      </c>
      <c r="B14" s="6">
        <v>0.07079173257060921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0.46265999999999996</v>
      </c>
      <c r="C19" s="8" t="s">
        <v>19</v>
      </c>
    </row>
    <row r="20" spans="1:2" x14ac:dyDescent="0.25">
      <c r="A20" t="s">
        <v>20</v>
      </c>
      <c r="B20" s="10">
        <f>B17+B19*B18</f>
        <v>0.0812396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6360592384</v>
      </c>
    </row>
    <row r="23" spans="1:2" x14ac:dyDescent="0.25">
      <c r="A23" t="s">
        <v>24</v>
      </c>
      <c r="B23" s="11">
        <v>1992300000</v>
      </c>
    </row>
    <row r="24" spans="1:2" x14ac:dyDescent="0.25">
      <c r="A24" t="s">
        <v>25</v>
      </c>
      <c r="B24" s="10">
        <f>B22/(B22+B23)</f>
        <v>0.761483818010602</v>
      </c>
    </row>
    <row r="25" spans="1:2" x14ac:dyDescent="0.25">
      <c r="A25" t="s">
        <v>26</v>
      </c>
      <c r="B25" s="10">
        <f>1-B24</f>
        <v>0.23851618198939795</v>
      </c>
    </row>
    <row r="26" spans="1:2" x14ac:dyDescent="0.25">
      <c r="A26" t="s">
        <v>27</v>
      </c>
      <c r="B26" s="12">
        <f>B24*B20+B25*B21*(1-B8)</f>
        <v>0.07079173257060921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1555900000</v>
      </c>
      <c r="C29" s="8" t="s">
        <v>30</v>
      </c>
    </row>
    <row r="30" spans="1:2" x14ac:dyDescent="0.25">
      <c r="A30" t="s">
        <v>31</v>
      </c>
      <c r="B30" s="11">
        <v>169800000</v>
      </c>
    </row>
    <row r="31" spans="1:2" x14ac:dyDescent="0.25">
      <c r="A31" t="s">
        <v>32</v>
      </c>
      <c r="B31" s="13">
        <v>1112000000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0.15553458378911533</v>
      </c>
      <c r="C5" s="10">
        <f>Assumptions!B6</f>
        <v>0.15553458378911533</v>
      </c>
      <c r="D5" s="10">
        <f>Assumptions!B6</f>
        <v>0.15553458378911533</v>
      </c>
      <c r="E5" s="10">
        <f>Assumptions!B6</f>
        <v>0.15553458378911533</v>
      </c>
      <c r="F5" s="10">
        <f>Assumptions!B6</f>
        <v>0.15553458378911533</v>
      </c>
    </row>
    <row r="6" spans="1:6" x14ac:dyDescent="0.25">
      <c r="A6" t="s">
        <v>43</v>
      </c>
      <c r="B6" s="18">
        <f>Assumptions!B29*(1+B5)</f>
        <v>1797896258.9174845</v>
      </c>
      <c r="C6" s="18">
        <f>B6*(1+C5)</f>
        <v>2077531305.244223</v>
      </c>
      <c r="D6" s="18">
        <f>C6*(1+D5)</f>
        <v>2400659272.1142406</v>
      </c>
      <c r="E6" s="18">
        <f>D6*(1+E5)</f>
        <v>2774044812.8220096</v>
      </c>
      <c r="F6" s="18">
        <f>E6*(1+F5)</f>
        <v>3205504718.1966352</v>
      </c>
    </row>
    <row r="7" spans="1:6" x14ac:dyDescent="0.25">
      <c r="A7" t="s">
        <v>5</v>
      </c>
      <c r="B7" s="10">
        <f>Assumptions!B7</f>
        <v>0.20796513804772246</v>
      </c>
      <c r="C7" s="10">
        <f>Assumptions!B7</f>
        <v>0.20796513804772246</v>
      </c>
      <c r="D7" s="10">
        <f>Assumptions!B7</f>
        <v>0.20796513804772246</v>
      </c>
      <c r="E7" s="10">
        <f>Assumptions!B7</f>
        <v>0.20796513804772246</v>
      </c>
      <c r="F7" s="10">
        <f>Assumptions!B7</f>
        <v>0.20796513804772246</v>
      </c>
    </row>
    <row r="8" spans="1:6" x14ac:dyDescent="0.25">
      <c r="A8" t="s">
        <v>44</v>
      </c>
      <c r="B8" s="18">
        <f>B6*B7</f>
        <v>373899743.68125844</v>
      </c>
      <c r="C8" s="18">
        <f>C6*C7</f>
        <v>432054084.6935799</v>
      </c>
      <c r="D8" s="18">
        <f>D6*D7</f>
        <v>499253436.930783</v>
      </c>
      <c r="E8" s="18">
        <f>E6*E7</f>
        <v>576904612.4490976</v>
      </c>
      <c r="F8" s="18">
        <f>F6*F7</f>
        <v>666633231.232389</v>
      </c>
    </row>
    <row r="9" spans="1:6" x14ac:dyDescent="0.25">
      <c r="A9" t="s">
        <v>45</v>
      </c>
      <c r="B9" s="18">
        <f>B8*(1-Assumptions!B8)</f>
        <v>261729820.5768809</v>
      </c>
      <c r="C9" s="18">
        <f>C8*(1-Assumptions!B8)</f>
        <v>302437859.2855059</v>
      </c>
      <c r="D9" s="18">
        <f>D8*(1-Assumptions!B8)</f>
        <v>349477405.8515481</v>
      </c>
      <c r="E9" s="18">
        <f>E8*(1-Assumptions!B8)</f>
        <v>403833228.71436834</v>
      </c>
      <c r="F9" s="18">
        <f>F8*(1-Assumptions!B8)</f>
        <v>466643261.86267227</v>
      </c>
    </row>
    <row r="10" spans="1:6" x14ac:dyDescent="0.25">
      <c r="A10" t="s">
        <v>46</v>
      </c>
      <c r="B10" s="18">
        <f>B6*Assumptions!B9</f>
        <v>142632915.35433736</v>
      </c>
      <c r="C10" s="18">
        <f>C6*Assumptions!B9</f>
        <v>164817266.47860235</v>
      </c>
      <c r="D10" s="18">
        <f>D6*Assumptions!B9</f>
        <v>190452051.4216115</v>
      </c>
      <c r="E10" s="18">
        <f>E6*Assumptions!B9</f>
        <v>220073931.971255</v>
      </c>
      <c r="F10" s="18">
        <f>F6*Assumptions!B9</f>
        <v>254303039.38323823</v>
      </c>
    </row>
    <row r="11" spans="1:6" x14ac:dyDescent="0.25">
      <c r="A11" t="s">
        <v>47</v>
      </c>
      <c r="B11" s="18">
        <f>-B6*Assumptions!B10</f>
        <v>-142632915.35433736</v>
      </c>
      <c r="C11" s="18">
        <f>-C6*Assumptions!B10</f>
        <v>-164817266.47860235</v>
      </c>
      <c r="D11" s="18">
        <f>-D6*Assumptions!B10</f>
        <v>-190452051.4216115</v>
      </c>
      <c r="E11" s="18">
        <f>-E6*Assumptions!B10</f>
        <v>-220073931.971255</v>
      </c>
      <c r="F11" s="18">
        <f>-F6*Assumptions!B10</f>
        <v>-254303039.38323823</v>
      </c>
    </row>
    <row r="12" spans="1:6" x14ac:dyDescent="0.25">
      <c r="A12" t="s">
        <v>48</v>
      </c>
      <c r="B12" s="18">
        <f>-(B6-Assumptions!B29)*Assumptions!B11</f>
        <v>180239417.37461296</v>
      </c>
      <c r="C12" s="18">
        <f>-(C6-B6)*Assumptions!B11</f>
        <v>208272880.13836613</v>
      </c>
      <c r="D12" s="18">
        <f>-(D6-C6)*Assumptions!B11</f>
        <v>240666515.86524695</v>
      </c>
      <c r="E12" s="18">
        <f>-(E6-D6)*Assumptions!B11</f>
        <v>278098482.24232477</v>
      </c>
      <c r="F12" s="18">
        <f>-(F6-E6)*Assumptions!B11</f>
        <v>321352413.93026954</v>
      </c>
    </row>
    <row r="13" spans="1:6" x14ac:dyDescent="0.25">
      <c r="A13" s="19" t="s">
        <v>49</v>
      </c>
      <c r="B13" s="20">
        <f>B9+B10+B11+B12</f>
        <v>441969237.95149386</v>
      </c>
      <c r="C13" s="20">
        <f>C9+C10+C11+C12</f>
        <v>510710739.423872</v>
      </c>
      <c r="D13" s="20">
        <f>D9+D10+D11+D12</f>
        <v>590143921.716795</v>
      </c>
      <c r="E13" s="20">
        <f>E9+E10+E11+E12</f>
        <v>681931710.9566932</v>
      </c>
      <c r="F13" s="20">
        <f>F9+F10+F11+F12</f>
        <v>787995675.7929418</v>
      </c>
    </row>
    <row r="14" spans="1:6" x14ac:dyDescent="0.25">
      <c r="A14" t="s">
        <v>50</v>
      </c>
      <c r="B14" s="21">
        <f>1/(1+Assumptions!$B$26)^(1-0.5*Assumptions!$B$32)</f>
        <v>0.966379025368894</v>
      </c>
      <c r="C14" s="21">
        <f>1/(1+Assumptions!$B$26)^(2-0.5*Assumptions!$B$32)</f>
        <v>0.9024901817732047</v>
      </c>
      <c r="D14" s="21">
        <f>1/(1+Assumptions!$B$26)^(3-0.5*Assumptions!$B$32)</f>
        <v>0.8428251305290065</v>
      </c>
      <c r="E14" s="21">
        <f>1/(1+Assumptions!$B$26)^(4-0.5*Assumptions!$B$32)</f>
        <v>0.7871046300531928</v>
      </c>
      <c r="F14" s="21">
        <f>1/(1+Assumptions!$B$26)^(5-0.5*Assumptions!$B$32)</f>
        <v>0.7350678998647295</v>
      </c>
    </row>
    <row r="15" spans="1:6" x14ac:dyDescent="0.25">
      <c r="A15" s="19" t="s">
        <v>51</v>
      </c>
      <c r="B15" s="20">
        <f>B13*B14</f>
        <v>427109801.4145974</v>
      </c>
      <c r="C15" s="20">
        <f>C13*C14</f>
        <v>460911428.05617803</v>
      </c>
      <c r="D15" s="20">
        <f>D13*D14</f>
        <v>497388127.85185754</v>
      </c>
      <c r="E15" s="20">
        <f>E13*E14</f>
        <v>536751607.0741088</v>
      </c>
      <c r="F15" s="20">
        <f>F13*F14</f>
        <v>579230326.507606</v>
      </c>
    </row>
    <row r="17" spans="1:2" x14ac:dyDescent="0.25">
      <c r="A17" s="22" t="s">
        <v>52</v>
      </c>
      <c r="B17" s="23">
        <f>SUM(B15:F15)</f>
        <v>2501391290.9043474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787995675.7929418</v>
      </c>
    </row>
    <row r="5" spans="1:2" x14ac:dyDescent="0.25">
      <c r="A5" t="s">
        <v>56</v>
      </c>
      <c r="B5" s="18">
        <f>IF(Assumptions!$B$33=0,B4,B4-Forecast!F11-Forecast!F10-Forecast!F12)</f>
        <v>466643261.86267227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0.3531485823583207</v>
      </c>
    </row>
    <row r="7" spans="1:2" x14ac:dyDescent="0.25">
      <c r="A7" t="s">
        <v>58</v>
      </c>
      <c r="B7" s="18">
        <f>-MAX(Forecast!F9,0)*B6</f>
        <v>-164794406.39386532</v>
      </c>
    </row>
    <row r="8" spans="1:2" x14ac:dyDescent="0.25">
      <c r="A8" t="s">
        <v>59</v>
      </c>
      <c r="B8" s="18">
        <f>IF(OR(Assumptions!$B$33=0,Assumptions!B12&lt;=0),B5,MAX(B5+B7,0))</f>
        <v>301848855.468807</v>
      </c>
    </row>
    <row r="9" spans="1:2" x14ac:dyDescent="0.25">
      <c r="A9" t="s">
        <v>60</v>
      </c>
      <c r="B9" s="18">
        <f>B8*(1+Assumptions!B12)/(Assumptions!B26-Assumptions!B12)</f>
        <v>6756570662.1484785</v>
      </c>
    </row>
    <row r="10" spans="1:2" x14ac:dyDescent="0.25">
      <c r="A10" t="s">
        <v>61</v>
      </c>
      <c r="B10" s="18">
        <f>B9/(1+Assumptions!B26)^(5-0.5*Assumptions!B32)</f>
        <v>4966538206.913127</v>
      </c>
    </row>
    <row r="11" spans="1:2" x14ac:dyDescent="0.25">
      <c r="A11" t="s">
        <v>62</v>
      </c>
      <c r="B11" s="18">
        <f>Forecast!B17+B10</f>
        <v>7467929497.817474</v>
      </c>
    </row>
    <row r="12" spans="1:2" x14ac:dyDescent="0.25">
      <c r="A12" t="s">
        <v>63</v>
      </c>
      <c r="B12" s="18">
        <f>-Assumptions!B30</f>
        <v>-169800000</v>
      </c>
    </row>
    <row r="13" spans="1:2" x14ac:dyDescent="0.25">
      <c r="A13" t="s">
        <v>64</v>
      </c>
      <c r="B13" s="18">
        <f>B11+B12</f>
        <v>7298129497.817474</v>
      </c>
    </row>
    <row r="14" spans="1:2" x14ac:dyDescent="0.25">
      <c r="A14" s="19" t="s">
        <v>65</v>
      </c>
      <c r="B14" s="24">
        <f>B13/Assumptions!B31</f>
        <v>6.563066095159599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920936270.6156272</v>
      </c>
    </row>
    <row r="18" spans="1:2" x14ac:dyDescent="0.25">
      <c r="A18" t="s">
        <v>60</v>
      </c>
      <c r="B18" s="18">
        <f>B17*Assumptions!B13</f>
        <v>13329067393.124233</v>
      </c>
    </row>
    <row r="19" spans="1:2" x14ac:dyDescent="0.25">
      <c r="A19" t="s">
        <v>61</v>
      </c>
      <c r="B19" s="18">
        <f>B18/(1+Assumptions!B26)^(5-0.5*Assumptions!B32)</f>
        <v>9797769575.819275</v>
      </c>
    </row>
    <row r="20" spans="1:2" x14ac:dyDescent="0.25">
      <c r="A20" t="s">
        <v>62</v>
      </c>
      <c r="B20" s="18">
        <f>Forecast!B17+B19</f>
        <v>12299160866.723621</v>
      </c>
    </row>
    <row r="21" spans="1:2" x14ac:dyDescent="0.25">
      <c r="A21" t="s">
        <v>63</v>
      </c>
      <c r="B21" s="18">
        <f>-Assumptions!B30</f>
        <v>-169800000</v>
      </c>
    </row>
    <row r="22" spans="1:2" x14ac:dyDescent="0.25">
      <c r="A22" t="s">
        <v>64</v>
      </c>
      <c r="B22" s="18">
        <f>B20+B21</f>
        <v>12129360866.723621</v>
      </c>
    </row>
    <row r="23" spans="1:2" x14ac:dyDescent="0.25">
      <c r="A23" s="19" t="s">
        <v>65</v>
      </c>
      <c r="B23" s="25">
        <f>B22/Assumptions!B31</f>
        <v>10.907698621154335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6.563066095159599</v>
      </c>
    </row>
    <row r="29" spans="1:2" x14ac:dyDescent="0.25">
      <c r="A29" s="19" t="s">
        <v>73</v>
      </c>
      <c r="B29" s="12">
        <f>B28/B26-1</f>
        <v>0.14738917747545455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0.050792</v>
      </c>
      <c r="B5" s="31">
        <v>8.922967053231874</v>
      </c>
      <c r="C5" s="31">
        <v>8.956021469534933</v>
      </c>
      <c r="D5" s="31">
        <v>8.989075885837996</v>
      </c>
      <c r="E5" s="31">
        <v>9.02213030214106</v>
      </c>
      <c r="F5" s="31">
        <v>9.055184718444117</v>
      </c>
    </row>
    <row r="6" spans="1:6" x14ac:dyDescent="0.25">
      <c r="A6" s="30">
        <v>0.060792</v>
      </c>
      <c r="B6" s="31">
        <v>7.525972361304087</v>
      </c>
      <c r="C6" s="31">
        <v>7.552437106902858</v>
      </c>
      <c r="D6" s="31">
        <v>7.578901852501629</v>
      </c>
      <c r="E6" s="31">
        <v>7.605366598100401</v>
      </c>
      <c r="F6" s="31">
        <v>7.631831343699174</v>
      </c>
    </row>
    <row r="7" spans="1:6" x14ac:dyDescent="0.25">
      <c r="A7" s="30">
        <v>0.070792</v>
      </c>
      <c r="B7" s="31">
        <v>6.519469157910417</v>
      </c>
      <c r="C7" s="31">
        <v>6.541255935692506</v>
      </c>
      <c r="D7" s="32">
        <v>6.563042713474594</v>
      </c>
      <c r="E7" s="31">
        <v>6.584829491256682</v>
      </c>
      <c r="F7" s="31">
        <v>6.60661626903877</v>
      </c>
    </row>
    <row r="8" spans="1:6" x14ac:dyDescent="0.25">
      <c r="A8" s="30">
        <v>0.080792</v>
      </c>
      <c r="B8" s="31">
        <v>5.758703659927498</v>
      </c>
      <c r="C8" s="31">
        <v>5.77701171924391</v>
      </c>
      <c r="D8" s="31">
        <v>5.795319778560321</v>
      </c>
      <c r="E8" s="31">
        <v>5.813627837876733</v>
      </c>
      <c r="F8" s="31">
        <v>5.831935897193143</v>
      </c>
    </row>
    <row r="9" spans="1:6" x14ac:dyDescent="0.25">
      <c r="A9" s="30">
        <v>0.090792</v>
      </c>
      <c r="B9" s="31">
        <v>5.162679987432074</v>
      </c>
      <c r="C9" s="31">
        <v>5.178310164023454</v>
      </c>
      <c r="D9" s="31">
        <v>5.1939403406148354</v>
      </c>
      <c r="E9" s="31">
        <v>5.209570517206217</v>
      </c>
      <c r="F9" s="31">
        <v>5.225200693797597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1555900000</v>
      </c>
      <c r="C5" s="18">
        <v>1320200000</v>
      </c>
      <c r="D5" s="18">
        <v>1200800000</v>
      </c>
      <c r="E5" s="18">
        <v>1008400000</v>
      </c>
      <c r="F5" s="8" t="s">
        <v>84</v>
      </c>
    </row>
    <row r="6" spans="1:6" x14ac:dyDescent="0.25">
      <c r="A6" t="s">
        <v>44</v>
      </c>
      <c r="B6" s="18">
        <v>337300000</v>
      </c>
      <c r="C6" s="18">
        <v>266100000</v>
      </c>
      <c r="D6" s="18">
        <v>238500000</v>
      </c>
      <c r="E6" s="18">
        <v>216700000</v>
      </c>
      <c r="F6" s="8" t="s">
        <v>85</v>
      </c>
    </row>
    <row r="7" spans="1:6" x14ac:dyDescent="0.25">
      <c r="A7" t="s">
        <v>86</v>
      </c>
      <c r="B7" s="18">
        <v>113900000</v>
      </c>
      <c r="C7" s="18">
        <v>99500000</v>
      </c>
      <c r="D7" s="18">
        <v>97500000</v>
      </c>
      <c r="E7" s="18">
        <v>88300000</v>
      </c>
      <c r="F7" s="8" t="s">
        <v>87</v>
      </c>
    </row>
    <row r="8" spans="1:6" x14ac:dyDescent="0.25">
      <c r="A8" t="s">
        <v>88</v>
      </c>
      <c r="B8" s="18">
        <v>29100000</v>
      </c>
      <c r="C8" s="18">
        <v>8200000</v>
      </c>
      <c r="D8" s="18">
        <v>11300000</v>
      </c>
      <c r="E8" s="18">
        <v>16200000</v>
      </c>
      <c r="F8" s="8" t="s">
        <v>89</v>
      </c>
    </row>
    <row r="9" spans="1:6" x14ac:dyDescent="0.25">
      <c r="A9" t="s">
        <v>90</v>
      </c>
      <c r="B9" s="18">
        <v>-155600000</v>
      </c>
      <c r="C9" s="18">
        <v>-131400000</v>
      </c>
      <c r="D9" s="18">
        <v>-143300000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1992300000</v>
      </c>
      <c r="C10" s="18">
        <v>1629800000</v>
      </c>
      <c r="D10" s="18">
        <v>1296500000</v>
      </c>
      <c r="E10" s="18">
        <v>1037400000</v>
      </c>
      <c r="F10" s="8" t="s">
        <v>93</v>
      </c>
    </row>
    <row r="11" spans="1:6" x14ac:dyDescent="0.25">
      <c r="A11" t="s">
        <v>94</v>
      </c>
      <c r="B11" s="18">
        <v>1822500000</v>
      </c>
      <c r="C11" s="18">
        <v>1602300000</v>
      </c>
      <c r="D11" s="18">
        <v>1326400000</v>
      </c>
      <c r="E11" s="18">
        <v>1138500000</v>
      </c>
      <c r="F11" s="8" t="s">
        <v>95</v>
      </c>
    </row>
    <row r="12" spans="1:6" x14ac:dyDescent="0.25">
      <c r="A12" t="s">
        <v>32</v>
      </c>
      <c r="B12" s="34">
        <v>1112000000</v>
      </c>
      <c r="C12" s="34">
        <v>1103200000</v>
      </c>
      <c r="D12" s="34">
        <v>1075400000</v>
      </c>
      <c r="E12" s="34">
        <v>1025100000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70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