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<sst xmlns="http://schemas.openxmlformats.org/spreadsheetml/2006/main" count="116" uniqueCount="104">
  <si>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Standard Life plc (SDLF.L)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</si>
  <si>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</si>
  <si>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</si>
  <si>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</si>
  <si>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</si>
  <si>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</si>
  <si>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</si>
  <si>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</si>
  <si>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</si>
  <si>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</si>
  <si>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</si>
  <si>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</si>
  <si>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</si>
  <si>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</si>
  <si>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</si>
  <si>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</si>
  <si>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</si>
  <si>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</si>
  <si>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</si>
  <si>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</si>
  <si>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</si>
  <si>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</si>
  <si>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</si>
  <si>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</si>
  <si>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</si>
  <si>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</si>
  <si>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</si>
  <si>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</si>
  <si>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</si>
  <si>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</si>
  <si>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</si>
  <si>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</si>
  <si>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</si>
  <si>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</si>
  <si>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</si>
  <si>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</si>
  <si>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</si>
  <si>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</si>
  <si>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</si>
  <si>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</si>
  <si>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</si>
  <si>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</si>
  <si>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</si>
  <si>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</si>
  <si>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</si>
  <si>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</si>
  <si>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</si>
  <si>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</si>
  <si>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</si>
  <si>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</si>
  <si>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</si>
  <si>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</si>
  <si>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</si>
  <si>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</si>
  <si>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</si>
  <si>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</si>
  <si>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</si>
  <si>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</si>
  <si>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</si>
  <si>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</si>
  <si>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</si>
  <si>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</si>
  <si>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</si>
  <si>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</si>
  <si>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</si>
  <si>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</si>
  <si>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</si>
  <si>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</si>
  <si>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</si>
  <si>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</si>
  <si>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</si>
  <si>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</si>
  <si>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</si>
  <si>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</si>
  <si>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</si>
  <si>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</si>
  <si>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</si>
  <si>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</si>
  <si>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</si>
  <si>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</si>
  <si>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</si>
  <si>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</si>
  <si>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</si>
  <si>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</si>
  <si>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</si>
  <si>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</si>
  <si>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</si>
  <si>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</si>
  <si>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</si>
  <si>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</si>
  <si>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</si>
  <si>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</si>
  <si>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</si>
  <si>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</si>
  <si>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</si>
  <si>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</si>
  <si>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</si>
  <si>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</si>
  <si>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10.5x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</si>
  <si>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Only 3 year(s) of history available to anchor assumptions on.</t>
  </si>
  <si>
    <t>Adjusted: Reported capital expenditure averages just 0.06%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</si>
  <si>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Note: Risk-free rate is an assumption: GBP assumption - no free live source available for this market.</t>
  </si>
  <si>
    <t>No usable EV/EBITDA (EBITDA is not positive), so the exit multiple falls back to 8x.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</si>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</sst>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0.38071145653422955</v>
      </c>
    </row>
    <row r="7" spans="1:2" x14ac:dyDescent="0.25">
      <c r="A7" t="s">
        <v>5</v>
      </c>
      <c r="B7" s="6">
        <v>-0.027801318951480167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0.014637048849804766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0.08632560372186351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0.93836</v>
      </c>
      <c r="C19" s="8" t="s">
        <v>19</v>
      </c>
    </row>
    <row r="20" spans="1:2" x14ac:dyDescent="0.25">
      <c r="A20" t="s">
        <v>20</v>
      </c>
      <c r="B20" s="10">
        <f>B17+B19*B18</f>
        <v>0.0966098</v>
      </c>
    </row>
    <row r="21" spans="1:3" x14ac:dyDescent="0.25">
      <c r="A21" t="s">
        <v>21</v>
      </c>
      <c r="B21" s="6">
        <v>0.07622868605817452</v>
      </c>
      <c r="C21" s="8" t="s">
        <v>22</v>
      </c>
    </row>
    <row r="22" spans="1:2" x14ac:dyDescent="0.25">
      <c r="A22" t="s">
        <v>23</v>
      </c>
      <c r="B22" s="11">
        <v>9335140352</v>
      </c>
    </row>
    <row r="23" spans="1:2" x14ac:dyDescent="0.25">
      <c r="A23" t="s">
        <v>24</v>
      </c>
      <c r="B23" s="11">
        <v>3293000000</v>
      </c>
    </row>
    <row r="24" spans="1:2" x14ac:dyDescent="0.25">
      <c r="A24" t="s">
        <v>25</v>
      </c>
      <c r="B24" s="10">
        <f>B22/(B22+B23)</f>
        <v>0.7392331801666691</v>
      </c>
    </row>
    <row r="25" spans="1:2" x14ac:dyDescent="0.25">
      <c r="A25" t="s">
        <v>26</v>
      </c>
      <c r="B25" s="10">
        <f>1-B24</f>
        <v>0.26076681983333094</v>
      </c>
    </row>
    <row r="26" spans="1:2" x14ac:dyDescent="0.25">
      <c r="A26" t="s">
        <v>27</v>
      </c>
      <c r="B26" s="12">
        <f>B24*B20+B25*B21*(1-B8)</f>
        <v>0.08632560372186351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31842000000</v>
      </c>
      <c r="C29" s="8" t="s">
        <v>30</v>
      </c>
    </row>
    <row r="30" spans="1:2" x14ac:dyDescent="0.25">
      <c r="A30" t="s">
        <v>31</v>
      </c>
      <c r="B30" s="11">
        <v>-4009000000</v>
      </c>
    </row>
    <row r="31" spans="1:2" x14ac:dyDescent="0.25">
      <c r="A31" t="s">
        <v>32</v>
      </c>
      <c r="B31" s="13">
        <v>1001577811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0.38071145653422955</v>
      </c>
      <c r="C5" s="10">
        <f>Assumptions!B6</f>
        <v>0.38071145653422955</v>
      </c>
      <c r="D5" s="10">
        <f>Assumptions!B6</f>
        <v>0.38071145653422955</v>
      </c>
      <c r="E5" s="10">
        <f>Assumptions!B6</f>
        <v>0.38071145653422955</v>
      </c>
      <c r="F5" s="10">
        <f>Assumptions!B6</f>
        <v>0.38071145653422955</v>
      </c>
    </row>
    <row r="6" spans="1:6" x14ac:dyDescent="0.25">
      <c r="A6" t="s">
        <v>43</v>
      </c>
      <c r="B6" s="18">
        <f>Assumptions!B29*(1+B5)</f>
        <v>43964614198.96294</v>
      </c>
      <c r="C6" s="18">
        <f>B6*(1+C5)</f>
        <v>60702446506.615585</v>
      </c>
      <c r="D6" s="18">
        <f>C6*(1+D5)</f>
        <v>83812563331.34036</v>
      </c>
      <c r="E6" s="18">
        <f>D6*(1+E5)</f>
        <v>115720966393.0823</v>
      </c>
      <c r="F6" s="18">
        <f>E6*(1+F5)</f>
        <v>159777264060.1413</v>
      </c>
    </row>
    <row r="7" spans="1:6" x14ac:dyDescent="0.25">
      <c r="A7" t="s">
        <v>5</v>
      </c>
      <c r="B7" s="10">
        <f>Assumptions!B7</f>
        <v>-0.027801318951480167</v>
      </c>
      <c r="C7" s="10">
        <f>Assumptions!B7</f>
        <v>-0.027801318951480167</v>
      </c>
      <c r="D7" s="10">
        <f>Assumptions!B7</f>
        <v>-0.027801318951480167</v>
      </c>
      <c r="E7" s="10">
        <f>Assumptions!B7</f>
        <v>-0.027801318951480167</v>
      </c>
      <c r="F7" s="10">
        <f>Assumptions!B7</f>
        <v>-0.027801318951480167</v>
      </c>
    </row>
    <row r="8" spans="1:6" x14ac:dyDescent="0.25">
      <c r="A8" t="s">
        <v>44</v>
      </c>
      <c r="B8" s="18">
        <f>B6*B7</f>
        <v>-1222274261.9241424</v>
      </c>
      <c r="C8" s="18">
        <f>C6*C7</f>
        <v>-1687608076.4655828</v>
      </c>
      <c r="D8" s="18">
        <f>D6*D7</f>
        <v>-2330099805.3157244</v>
      </c>
      <c r="E8" s="18">
        <f>E6*E7</f>
        <v>-3217195496.067599</v>
      </c>
      <c r="F8" s="18">
        <f>F6*F7</f>
        <v>-4442018679.330857</v>
      </c>
    </row>
    <row r="9" spans="1:6" x14ac:dyDescent="0.25">
      <c r="A9" t="s">
        <v>45</v>
      </c>
      <c r="B9" s="18">
        <f>B8*(1-Assumptions!B8)</f>
        <v>-916705696.4431068</v>
      </c>
      <c r="C9" s="18">
        <f>C8*(1-Assumptions!B8)</f>
        <v>-1265706057.3491871</v>
      </c>
      <c r="D9" s="18">
        <f>D8*(1-Assumptions!B8)</f>
        <v>-1747574853.9867933</v>
      </c>
      <c r="E9" s="18">
        <f>E8*(1-Assumptions!B8)</f>
        <v>-2412896622.050699</v>
      </c>
      <c r="F9" s="18">
        <f>F8*(1-Assumptions!B8)</f>
        <v>-3331514009.498143</v>
      </c>
    </row>
    <row r="10" spans="1:6" x14ac:dyDescent="0.25">
      <c r="A10" t="s">
        <v>46</v>
      </c>
      <c r="B10" s="18">
        <f>B6*Assumptions!B9</f>
        <v>643512205.6930407</v>
      </c>
      <c r="C10" s="18">
        <f>C6*Assumptions!B9</f>
        <v>888504674.819993</v>
      </c>
      <c r="D10" s="18">
        <f>D6*Assumptions!B9</f>
        <v>1226768583.7081845</v>
      </c>
      <c r="E10" s="18">
        <f>E6*Assumptions!B9</f>
        <v>1693813438.0421615</v>
      </c>
      <c r="F10" s="18">
        <f>F6*Assumptions!B9</f>
        <v>2338667619.1364436</v>
      </c>
    </row>
    <row r="11" spans="1:6" x14ac:dyDescent="0.25">
      <c r="A11" t="s">
        <v>47</v>
      </c>
      <c r="B11" s="18">
        <f>-B6*Assumptions!B10</f>
        <v>-439646141.9896294</v>
      </c>
      <c r="C11" s="18">
        <f>-C6*Assumptions!B10</f>
        <v>-607024465.0661559</v>
      </c>
      <c r="D11" s="18">
        <f>-D6*Assumptions!B10</f>
        <v>-838125633.3134036</v>
      </c>
      <c r="E11" s="18">
        <f>-E6*Assumptions!B10</f>
        <v>-1157209663.930823</v>
      </c>
      <c r="F11" s="18">
        <f>-F6*Assumptions!B10</f>
        <v>-1597772640.601413</v>
      </c>
    </row>
    <row r="12" spans="1:6" x14ac:dyDescent="0.25">
      <c r="A12" t="s">
        <v>48</v>
      </c>
      <c r="B12" s="18">
        <f>-(B6-Assumptions!B29)*Assumptions!B11</f>
        <v>12122614198.962936</v>
      </c>
      <c r="C12" s="18">
        <f>-(C6-B6)*Assumptions!B11</f>
        <v>16737832307.652649</v>
      </c>
      <c r="D12" s="18">
        <f>-(D6-C6)*Assumptions!B11</f>
        <v>23110116824.724777</v>
      </c>
      <c r="E12" s="18">
        <f>-(E6-D6)*Assumptions!B11</f>
        <v>31908403061.741943</v>
      </c>
      <c r="F12" s="18">
        <f>-(F6-E6)*Assumptions!B11</f>
        <v>44056297667.05899</v>
      </c>
    </row>
    <row r="13" spans="1:6" x14ac:dyDescent="0.25">
      <c r="A13" s="19" t="s">
        <v>49</v>
      </c>
      <c r="B13" s="20">
        <f>B9+B10+B11+B12</f>
        <v>11409774566.223242</v>
      </c>
      <c r="C13" s="20">
        <f>C9+C10+C11+C12</f>
        <v>15753606460.057299</v>
      </c>
      <c r="D13" s="20">
        <f>D9+D10+D11+D12</f>
        <v>21751184921.132767</v>
      </c>
      <c r="E13" s="20">
        <f>E9+E10+E11+E12</f>
        <v>30032110213.80258</v>
      </c>
      <c r="F13" s="20">
        <f>F9+F10+F11+F12</f>
        <v>41465678636.09588</v>
      </c>
    </row>
    <row r="14" spans="1:6" x14ac:dyDescent="0.25">
      <c r="A14" t="s">
        <v>50</v>
      </c>
      <c r="B14" s="21">
        <f>1/(1+Assumptions!$B$26)^(1-0.5*Assumptions!$B$32)</f>
        <v>0.959444797345042</v>
      </c>
      <c r="C14" s="21">
        <f>1/(1+Assumptions!$B$26)^(2-0.5*Assumptions!$B$32)</f>
        <v>0.8832018632883963</v>
      </c>
      <c r="D14" s="21">
        <f>1/(1+Assumptions!$B$26)^(3-0.5*Assumptions!$B$32)</f>
        <v>0.8130176258963754</v>
      </c>
      <c r="E14" s="21">
        <f>1/(1+Assumptions!$B$26)^(4-0.5*Assumptions!$B$32)</f>
        <v>0.7484106267134762</v>
      </c>
      <c r="F14" s="21">
        <f>1/(1+Assumptions!$B$26)^(5-0.5*Assumptions!$B$32)</f>
        <v>0.6889376667081621</v>
      </c>
    </row>
    <row r="15" spans="1:6" x14ac:dyDescent="0.25">
      <c r="A15" s="19" t="s">
        <v>51</v>
      </c>
      <c r="B15" s="20">
        <f>B13*B14</f>
        <v>10947048846.442673</v>
      </c>
      <c r="C15" s="20">
        <f>C13*C14</f>
        <v>13913614579.034723</v>
      </c>
      <c r="D15" s="20">
        <f>D13*D14</f>
        <v>17684096725.0124</v>
      </c>
      <c r="E15" s="20">
        <f>E13*E14</f>
        <v>22476350426.640182</v>
      </c>
      <c r="F15" s="20">
        <f>F13*F14</f>
        <v>28567267888.02238</v>
      </c>
    </row>
    <row r="17" spans="1:2" x14ac:dyDescent="0.25">
      <c r="A17" s="22" t="s">
        <v>52</v>
      </c>
      <c r="B17" s="23">
        <f>SUM(B15:F15)</f>
        <v>93588378465.15236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41465678636.09588</v>
      </c>
    </row>
    <row r="5" spans="1:2" x14ac:dyDescent="0.25">
      <c r="A5" t="s">
        <v>56</v>
      </c>
      <c r="B5" s="18">
        <f>IF(Assumptions!$B$33=0,B4,B4-Forecast!F11-Forecast!F10-Forecast!F12)</f>
        <v>-1696826148.9343822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0.2896012182034506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93588378465.15236</v>
      </c>
    </row>
    <row r="12" spans="1:2" x14ac:dyDescent="0.25">
      <c r="A12" t="s">
        <v>63</v>
      </c>
      <c r="B12" s="18">
        <f>-Assumptions!B30</f>
        <v>4009000000</v>
      </c>
    </row>
    <row r="13" spans="1:2" x14ac:dyDescent="0.25">
      <c r="A13" t="s">
        <v>64</v>
      </c>
      <c r="B13" s="18">
        <f>B11+B12</f>
        <v>97597378465.15236</v>
      </c>
    </row>
    <row r="14" spans="1:2" x14ac:dyDescent="0.25">
      <c r="A14" s="19" t="s">
        <v>65</v>
      </c>
      <c r="B14" s="24">
        <f>B13/Assumptions!B31</f>
        <v>97.44363083254483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-2103351060.1944137</v>
      </c>
    </row>
    <row r="18" spans="1:2" x14ac:dyDescent="0.25">
      <c r="A18" t="s">
        <v>60</v>
      </c>
      <c r="B18" s="18">
        <f>B17*Assumptions!B13</f>
        <v>-16826808481.55531</v>
      </c>
    </row>
    <row r="19" spans="1:2" x14ac:dyDescent="0.25">
      <c r="A19" t="s">
        <v>61</v>
      </c>
      <c r="B19" s="18">
        <f>B18/(1+Assumptions!B26)^(5-0.5*Assumptions!B32)</f>
        <v>-11592622173.427828</v>
      </c>
    </row>
    <row r="20" spans="1:2" x14ac:dyDescent="0.25">
      <c r="A20" t="s">
        <v>62</v>
      </c>
      <c r="B20" s="18">
        <f>Forecast!B17+B19</f>
        <v>81995756291.72453</v>
      </c>
    </row>
    <row r="21" spans="1:2" x14ac:dyDescent="0.25">
      <c r="A21" t="s">
        <v>63</v>
      </c>
      <c r="B21" s="18">
        <f>-Assumptions!B30</f>
        <v>4009000000</v>
      </c>
    </row>
    <row r="22" spans="1:2" x14ac:dyDescent="0.25">
      <c r="A22" t="s">
        <v>64</v>
      </c>
      <c r="B22" s="18">
        <f>B20+B21</f>
        <v>86004756291.72453</v>
      </c>
    </row>
    <row r="23" spans="1:2" x14ac:dyDescent="0.25">
      <c r="A23" s="19" t="s">
        <v>65</v>
      </c>
      <c r="B23" s="25">
        <f>B22/Assumptions!B31</f>
        <v>85.86927081167589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931.5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9744.363083254482</v>
      </c>
    </row>
    <row r="29" spans="1:2" x14ac:dyDescent="0.25">
      <c r="A29" s="19" t="s">
        <v>73</v>
      </c>
      <c r="B29" s="12">
        <f>B28/B26-1</f>
        <v>9.460937287444425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0.066326</v>
      </c>
      <c r="B5" s="31">
        <v>102.77339957649463</v>
      </c>
      <c r="C5" s="31">
        <v>102.77339957649463</v>
      </c>
      <c r="D5" s="31">
        <v>102.77339957649463</v>
      </c>
      <c r="E5" s="31">
        <v>102.77339957649463</v>
      </c>
      <c r="F5" s="31">
        <v>102.77339957649463</v>
      </c>
    </row>
    <row r="6" spans="1:6" x14ac:dyDescent="0.25">
      <c r="A6" s="30">
        <v>0.076326</v>
      </c>
      <c r="B6" s="31">
        <v>100.05146985709769</v>
      </c>
      <c r="C6" s="31">
        <v>100.05146985709769</v>
      </c>
      <c r="D6" s="31">
        <v>100.05146985709769</v>
      </c>
      <c r="E6" s="31">
        <v>100.05146985709769</v>
      </c>
      <c r="F6" s="31">
        <v>100.05146985709769</v>
      </c>
    </row>
    <row r="7" spans="1:6" x14ac:dyDescent="0.25">
      <c r="A7" s="30">
        <v>0.086326</v>
      </c>
      <c r="B7" s="31">
        <v>97.44352966369368</v>
      </c>
      <c r="C7" s="31">
        <v>97.44352966369368</v>
      </c>
      <c r="D7" s="32">
        <v>97.44352966369368</v>
      </c>
      <c r="E7" s="31">
        <v>97.44352966369368</v>
      </c>
      <c r="F7" s="31">
        <v>97.44352966369368</v>
      </c>
    </row>
    <row r="8" spans="1:6" x14ac:dyDescent="0.25">
      <c r="A8" s="30">
        <v>0.096326</v>
      </c>
      <c r="B8" s="31">
        <v>94.94358993950188</v>
      </c>
      <c r="C8" s="31">
        <v>94.94358993950188</v>
      </c>
      <c r="D8" s="31">
        <v>94.94358993950188</v>
      </c>
      <c r="E8" s="31">
        <v>94.94358993950188</v>
      </c>
      <c r="F8" s="31">
        <v>94.94358993950188</v>
      </c>
    </row>
    <row r="9" spans="1:6" x14ac:dyDescent="0.25">
      <c r="A9" s="30">
        <v>0.106326</v>
      </c>
      <c r="B9" s="31">
        <v>92.54603371867788</v>
      </c>
      <c r="C9" s="31">
        <v>92.54603371867788</v>
      </c>
      <c r="D9" s="31">
        <v>92.54603371867788</v>
      </c>
      <c r="E9" s="31">
        <v>92.54603371867788</v>
      </c>
      <c r="F9" s="31">
        <v>92.54603371867788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31842000000</v>
      </c>
      <c r="C5" s="18">
        <v>19515000000</v>
      </c>
      <c r="D5" s="18">
        <v>16703000000</v>
      </c>
      <c r="E5" s="8" t="s">
        <v>83</v>
      </c>
    </row>
    <row r="6" spans="1:5" x14ac:dyDescent="0.25">
      <c r="A6" t="s">
        <v>44</v>
      </c>
      <c r="B6" s="18">
        <v>-432000000</v>
      </c>
      <c r="C6" s="18">
        <v>-1454000000</v>
      </c>
      <c r="D6" s="18">
        <v>78000000</v>
      </c>
      <c r="E6" s="8" t="s">
        <v>84</v>
      </c>
    </row>
    <row r="7" spans="1:5" x14ac:dyDescent="0.25">
      <c r="A7" t="s">
        <v>85</v>
      </c>
      <c r="B7" s="18">
        <v>257000000</v>
      </c>
      <c r="C7" s="18">
        <v>294000000</v>
      </c>
      <c r="D7" s="18">
        <v>347000000</v>
      </c>
      <c r="E7" s="8" t="s">
        <v>86</v>
      </c>
    </row>
    <row r="8" spans="1:5" x14ac:dyDescent="0.25">
      <c r="A8" t="s">
        <v>87</v>
      </c>
      <c r="B8" s="18">
        <v>10000000</v>
      </c>
      <c r="C8" s="18">
        <v>29000000</v>
      </c>
      <c r="D8" s="18">
        <v>0</v>
      </c>
      <c r="E8" s="8" t="s">
        <v>88</v>
      </c>
    </row>
    <row r="9" spans="1:5" x14ac:dyDescent="0.25">
      <c r="A9" t="s">
        <v>89</v>
      </c>
      <c r="B9" s="18">
        <v>-17317000000</v>
      </c>
      <c r="C9" s="18">
        <v>-11826000000</v>
      </c>
      <c r="D9" s="18">
        <v>-9755000000</v>
      </c>
      <c r="E9" s="8" t="s">
        <v>90</v>
      </c>
    </row>
    <row r="10" spans="1:5" x14ac:dyDescent="0.25">
      <c r="A10" t="s">
        <v>91</v>
      </c>
      <c r="B10" s="18">
        <v>3293000000</v>
      </c>
      <c r="C10" s="18">
        <v>3686000000</v>
      </c>
      <c r="D10" s="18">
        <v>3966000000</v>
      </c>
      <c r="E10" s="8" t="s">
        <v>92</v>
      </c>
    </row>
    <row r="11" spans="1:5" x14ac:dyDescent="0.25">
      <c r="A11" t="s">
        <v>93</v>
      </c>
      <c r="B11" s="18">
        <v>7302000000</v>
      </c>
      <c r="C11" s="18">
        <v>9453000000</v>
      </c>
      <c r="D11" s="18">
        <v>7168000000</v>
      </c>
      <c r="E11" s="8" t="s">
        <v>94</v>
      </c>
    </row>
    <row r="12" spans="1:5" x14ac:dyDescent="0.25">
      <c r="A12" t="s">
        <v>32</v>
      </c>
      <c r="B12" s="34">
        <v>1001577811</v>
      </c>
      <c r="C12" s="34">
        <v>1005000000</v>
      </c>
      <c r="D12" s="34">
        <v>1003000000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54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54" customHeight="1" spans="1:5" x14ac:dyDescent="0.25">
      <c r="A19" s="35" t="s">
        <v>100</v>
      </c>
      <c r="B19" s="35"/>
      <c r="C19" s="35"/>
      <c r="D19" s="35"/>
      <c r="E19" s="35"/>
    </row>
    <row r="20" ht="22" customHeight="1" spans="1:5" x14ac:dyDescent="0.25">
      <c r="A20" s="35" t="s">
        <v>101</v>
      </c>
      <c r="B20" s="35"/>
      <c r="C20" s="35"/>
      <c r="D20" s="35"/>
      <c r="E20" s="35"/>
    </row>
    <row r="21" ht="22" customHeight="1" spans="1:5" x14ac:dyDescent="0.25">
      <c r="A21" s="35" t="s">
        <v>102</v>
      </c>
      <c r="B21" s="35"/>
      <c r="C21" s="35"/>
      <c r="D21" s="35"/>
      <c r="E21" s="35"/>
    </row>
    <row r="23" spans="1:1" x14ac:dyDescent="0.25">
      <c r="A23" s="36" t="s">
        <v>103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2026-09-19T00:07:22Z</dcterms:modified>
</cp:coreProperties>
</file>