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<sst xmlns="http://schemas.openxmlformats.org/spreadsheetml/2006/main" count="113" uniqueCount="101">
  <si>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Schroders plc (SDR.L)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</si>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</sst>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0.039779423388850654</v>
      </c>
    </row>
    <row r="7" spans="1:2" x14ac:dyDescent="0.25">
      <c r="A7" t="s">
        <v>5</v>
      </c>
      <c r="B7" s="6">
        <v>0.1739146986191214</v>
      </c>
    </row>
    <row r="8" spans="1:2" x14ac:dyDescent="0.25">
      <c r="A8" t="s">
        <v>6</v>
      </c>
      <c r="B8" s="6">
        <v>0.1787318067473765</v>
      </c>
    </row>
    <row r="9" spans="1:2" x14ac:dyDescent="0.25">
      <c r="A9" t="s">
        <v>7</v>
      </c>
      <c r="B9" s="6">
        <v>0.06398519575844333</v>
      </c>
    </row>
    <row r="10" spans="1:2" x14ac:dyDescent="0.25">
      <c r="A10" t="s">
        <v>8</v>
      </c>
      <c r="B10" s="6">
        <v>0.0230346119007745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3.6925461433550537</v>
      </c>
    </row>
    <row r="14" spans="1:3" x14ac:dyDescent="0.25">
      <c r="A14" t="s">
        <v>12</v>
      </c>
      <c r="B14" s="6">
        <v>0.09892085084722815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1.05092</v>
      </c>
      <c r="C19" s="8" t="s">
        <v>19</v>
      </c>
    </row>
    <row r="20" spans="1:2" x14ac:dyDescent="0.25">
      <c r="A20" t="s">
        <v>20</v>
      </c>
      <c r="B20" s="10">
        <f>B17+B19*B18</f>
        <v>0.1028006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9161011200</v>
      </c>
    </row>
    <row r="23" spans="1:2" x14ac:dyDescent="0.25">
      <c r="A23" t="s">
        <v>24</v>
      </c>
      <c r="B23" s="11">
        <v>573600000</v>
      </c>
    </row>
    <row r="24" spans="1:2" x14ac:dyDescent="0.25">
      <c r="A24" t="s">
        <v>25</v>
      </c>
      <c r="B24" s="10">
        <f>B22/(B22+B23)</f>
        <v>0.9410762291153446</v>
      </c>
    </row>
    <row r="25" spans="1:2" x14ac:dyDescent="0.25">
      <c r="A25" t="s">
        <v>26</v>
      </c>
      <c r="B25" s="10">
        <f>1-B24</f>
        <v>0.05892377088465539</v>
      </c>
    </row>
    <row r="26" spans="1:2" x14ac:dyDescent="0.25">
      <c r="A26" t="s">
        <v>27</v>
      </c>
      <c r="B26" s="12">
        <f>B24*B20+B25*B21*(1-B8)</f>
        <v>0.09892085084722815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3250700000</v>
      </c>
      <c r="C29" s="8" t="s">
        <v>30</v>
      </c>
    </row>
    <row r="30" spans="1:2" x14ac:dyDescent="0.25">
      <c r="A30" t="s">
        <v>31</v>
      </c>
      <c r="B30" s="11">
        <v>-6724300000</v>
      </c>
    </row>
    <row r="31" spans="1:2" x14ac:dyDescent="0.25">
      <c r="A31" t="s">
        <v>32</v>
      </c>
      <c r="B31" s="13">
        <v>1605600000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0.039779423388850654</v>
      </c>
      <c r="C5" s="10">
        <f>Assumptions!B6</f>
        <v>0.039779423388850654</v>
      </c>
      <c r="D5" s="10">
        <f>Assumptions!B6</f>
        <v>0.039779423388850654</v>
      </c>
      <c r="E5" s="10">
        <f>Assumptions!B6</f>
        <v>0.039779423388850654</v>
      </c>
      <c r="F5" s="10">
        <f>Assumptions!B6</f>
        <v>0.039779423388850654</v>
      </c>
    </row>
    <row r="6" spans="1:6" x14ac:dyDescent="0.25">
      <c r="A6" t="s">
        <v>43</v>
      </c>
      <c r="B6" s="18">
        <f>Assumptions!B29*(1+B5)</f>
        <v>3380010971.610137</v>
      </c>
      <c r="C6" s="18">
        <f>B6*(1+C5)</f>
        <v>3514465859.108777</v>
      </c>
      <c r="D6" s="18">
        <f>C6*(1+D5)</f>
        <v>3654269284.503926</v>
      </c>
      <c r="E6" s="18">
        <f>D6*(1+E5)</f>
        <v>3799634009.54908</v>
      </c>
      <c r="F6" s="18">
        <f>E6*(1+F5)</f>
        <v>3950781259.537609</v>
      </c>
    </row>
    <row r="7" spans="1:6" x14ac:dyDescent="0.25">
      <c r="A7" t="s">
        <v>5</v>
      </c>
      <c r="B7" s="10">
        <f>Assumptions!B7</f>
        <v>0.1739146986191214</v>
      </c>
      <c r="C7" s="10">
        <f>Assumptions!B7</f>
        <v>0.1739146986191214</v>
      </c>
      <c r="D7" s="10">
        <f>Assumptions!B7</f>
        <v>0.1739146986191214</v>
      </c>
      <c r="E7" s="10">
        <f>Assumptions!B7</f>
        <v>0.1739146986191214</v>
      </c>
      <c r="F7" s="10">
        <f>Assumptions!B7</f>
        <v>0.1739146986191214</v>
      </c>
    </row>
    <row r="8" spans="1:6" x14ac:dyDescent="0.25">
      <c r="A8" t="s">
        <v>44</v>
      </c>
      <c r="B8" s="18">
        <f>B6*B7</f>
        <v>587833589.4569007</v>
      </c>
      <c r="C8" s="18">
        <f>C6*C7</f>
        <v>611217270.6940945</v>
      </c>
      <c r="D8" s="18">
        <f>D6*D7</f>
        <v>635531141.2876127</v>
      </c>
      <c r="E8" s="18">
        <f>E6*E7</f>
        <v>660812203.633692</v>
      </c>
      <c r="F8" s="18">
        <f>F6*F7</f>
        <v>687098932.0625561</v>
      </c>
    </row>
    <row r="9" spans="1:6" x14ac:dyDescent="0.25">
      <c r="A9" t="s">
        <v>45</v>
      </c>
      <c r="B9" s="18">
        <f>B8*(1-Assumptions!B8)</f>
        <v>482769029.9464733</v>
      </c>
      <c r="C9" s="18">
        <f>C8*(1-Assumptions!B8)</f>
        <v>501973303.58773875</v>
      </c>
      <c r="D9" s="18">
        <f>D8*(1-Assumptions!B8)</f>
        <v>521941512.1610555</v>
      </c>
      <c r="E9" s="18">
        <f>E8*(1-Assumptions!B8)</f>
        <v>542704044.5575271</v>
      </c>
      <c r="F9" s="18">
        <f>F8*(1-Assumptions!B8)</f>
        <v>564292498.5208226</v>
      </c>
    </row>
    <row r="10" spans="1:6" x14ac:dyDescent="0.25">
      <c r="A10" t="s">
        <v>46</v>
      </c>
      <c r="B10" s="18">
        <f>B6*Assumptions!B9</f>
        <v>216270663.68416086</v>
      </c>
      <c r="C10" s="18">
        <f>C6*Assumptions!B9</f>
        <v>224873785.9814408</v>
      </c>
      <c r="D10" s="18">
        <f>D6*Assumptions!B9</f>
        <v>233819135.52305034</v>
      </c>
      <c r="E10" s="18">
        <f>E6*Assumptions!B9</f>
        <v>243120325.91143683</v>
      </c>
      <c r="F10" s="18">
        <f>F6*Assumptions!B9</f>
        <v>252791512.29030323</v>
      </c>
    </row>
    <row r="11" spans="1:6" x14ac:dyDescent="0.25">
      <c r="A11" t="s">
        <v>47</v>
      </c>
      <c r="B11" s="18">
        <f>-B6*Assumptions!B10</f>
        <v>-77857240.95139924</v>
      </c>
      <c r="C11" s="18">
        <f>-C6*Assumptions!B10</f>
        <v>-80954357.10309272</v>
      </c>
      <c r="D11" s="18">
        <f>-D6*Assumptions!B10</f>
        <v>-84174674.74946885</v>
      </c>
      <c r="E11" s="18">
        <f>-E6*Assumptions!B10</f>
        <v>-87523094.77494676</v>
      </c>
      <c r="F11" s="18">
        <f>-F6*Assumptions!B10</f>
        <v>-91004713.01830187</v>
      </c>
    </row>
    <row r="12" spans="1:6" x14ac:dyDescent="0.25">
      <c r="A12" t="s">
        <v>48</v>
      </c>
      <c r="B12" s="18">
        <f>-(B6-Assumptions!B29)*Assumptions!B11</f>
        <v>129310971.61013699</v>
      </c>
      <c r="C12" s="18">
        <f>-(C6-B6)*Assumptions!B11</f>
        <v>134454887.49864006</v>
      </c>
      <c r="D12" s="18">
        <f>-(D6-C6)*Assumptions!B11</f>
        <v>139803425.39514875</v>
      </c>
      <c r="E12" s="18">
        <f>-(E6-D6)*Assumptions!B11</f>
        <v>145364725.0451541</v>
      </c>
      <c r="F12" s="18">
        <f>-(F6-E6)*Assumptions!B11</f>
        <v>151147249.9885292</v>
      </c>
    </row>
    <row r="13" spans="1:6" x14ac:dyDescent="0.25">
      <c r="A13" s="19" t="s">
        <v>49</v>
      </c>
      <c r="B13" s="20">
        <f>B9+B10+B11+B12</f>
        <v>750493424.289372</v>
      </c>
      <c r="C13" s="20">
        <f>C9+C10+C11+C12</f>
        <v>780347619.9647269</v>
      </c>
      <c r="D13" s="20">
        <f>D9+D10+D11+D12</f>
        <v>811389398.3297858</v>
      </c>
      <c r="E13" s="20">
        <f>E9+E10+E11+E12</f>
        <v>843666000.7391711</v>
      </c>
      <c r="F13" s="20">
        <f>F9+F10+F11+F12</f>
        <v>877226547.7813532</v>
      </c>
    </row>
    <row r="14" spans="1:6" x14ac:dyDescent="0.25">
      <c r="A14" t="s">
        <v>50</v>
      </c>
      <c r="B14" s="21">
        <f>1/(1+Assumptions!$B$26)^(1-0.5*Assumptions!$B$32)</f>
        <v>0.9539306283516651</v>
      </c>
      <c r="C14" s="21">
        <f>1/(1+Assumptions!$B$26)^(2-0.5*Assumptions!$B$32)</f>
        <v>0.8680612690315406</v>
      </c>
      <c r="D14" s="21">
        <f>1/(1+Assumptions!$B$26)^(3-0.5*Assumptions!$B$32)</f>
        <v>0.7899215565545935</v>
      </c>
      <c r="E14" s="21">
        <f>1/(1+Assumptions!$B$26)^(4-0.5*Assumptions!$B$32)</f>
        <v>0.7188156962765723</v>
      </c>
      <c r="F14" s="21">
        <f>1/(1+Assumptions!$B$26)^(5-0.5*Assumptions!$B$32)</f>
        <v>0.6541105264518289</v>
      </c>
    </row>
    <row r="15" spans="1:6" x14ac:dyDescent="0.25">
      <c r="A15" s="19" t="s">
        <v>51</v>
      </c>
      <c r="B15" s="20">
        <f>B13*B14</f>
        <v>715918663.8061534</v>
      </c>
      <c r="C15" s="20">
        <f>C13*C14</f>
        <v>677389545.2723233</v>
      </c>
      <c r="D15" s="20">
        <f>D13*D14</f>
        <v>640933976.5005596</v>
      </c>
      <c r="E15" s="20">
        <f>E13*E14</f>
        <v>606440363.7461984</v>
      </c>
      <c r="F15" s="20">
        <f>F13*F14</f>
        <v>573803118.9867814</v>
      </c>
    </row>
    <row r="17" spans="1:2" x14ac:dyDescent="0.25">
      <c r="A17" s="22" t="s">
        <v>52</v>
      </c>
      <c r="B17" s="23">
        <f>SUM(B15:F15)</f>
        <v>3214485668.3120155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877226547.7813532</v>
      </c>
    </row>
    <row r="5" spans="1:2" x14ac:dyDescent="0.25">
      <c r="A5" t="s">
        <v>56</v>
      </c>
      <c r="B5" s="18">
        <f>IF(Assumptions!$B$33=0,B4,B4-Forecast!F11-Forecast!F10-Forecast!F12)</f>
        <v>700451353.4635378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0.25272730456604764</v>
      </c>
    </row>
    <row r="7" spans="1:2" x14ac:dyDescent="0.25">
      <c r="A7" t="s">
        <v>58</v>
      </c>
      <c r="B7" s="18">
        <f>-MAX(Forecast!F9,0)*B6</f>
        <v>-177023182.5404798</v>
      </c>
    </row>
    <row r="8" spans="1:2" x14ac:dyDescent="0.25">
      <c r="A8" t="s">
        <v>59</v>
      </c>
      <c r="B8" s="18">
        <f>IF(OR(Assumptions!$B$33=0,Assumptions!B12&lt;=0),B5,MAX(B5+B7,0))</f>
        <v>523428170.92305803</v>
      </c>
    </row>
    <row r="9" spans="1:2" x14ac:dyDescent="0.25">
      <c r="A9" t="s">
        <v>60</v>
      </c>
      <c r="B9" s="18">
        <f>B8*(1+Assumptions!B12)/(Assumptions!B26-Assumptions!B12)</f>
        <v>7257950484.159671</v>
      </c>
    </row>
    <row r="10" spans="1:2" x14ac:dyDescent="0.25">
      <c r="A10" t="s">
        <v>61</v>
      </c>
      <c r="B10" s="18">
        <f>B9/(1+Assumptions!B26)^(5-0.5*Assumptions!B32)</f>
        <v>4747501812.154988</v>
      </c>
    </row>
    <row r="11" spans="1:2" x14ac:dyDescent="0.25">
      <c r="A11" t="s">
        <v>62</v>
      </c>
      <c r="B11" s="18">
        <f>Forecast!B17+B10</f>
        <v>7961987480.467004</v>
      </c>
    </row>
    <row r="12" spans="1:2" x14ac:dyDescent="0.25">
      <c r="A12" t="s">
        <v>63</v>
      </c>
      <c r="B12" s="18">
        <f>-Assumptions!B30</f>
        <v>6724299999.999999</v>
      </c>
    </row>
    <row r="13" spans="1:2" x14ac:dyDescent="0.25">
      <c r="A13" t="s">
        <v>64</v>
      </c>
      <c r="B13" s="18">
        <f>B11+B12</f>
        <v>14686287480.467003</v>
      </c>
    </row>
    <row r="14" spans="1:2" x14ac:dyDescent="0.25">
      <c r="A14" s="19" t="s">
        <v>65</v>
      </c>
      <c r="B14" s="24">
        <f>B13/Assumptions!B31</f>
        <v>9.146915471142878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939890444.3528594</v>
      </c>
    </row>
    <row r="18" spans="1:2" x14ac:dyDescent="0.25">
      <c r="A18" t="s">
        <v>60</v>
      </c>
      <c r="B18" s="18">
        <f>B17*Assumptions!B13</f>
        <v>3470588835.4714184</v>
      </c>
    </row>
    <row r="19" spans="1:2" x14ac:dyDescent="0.25">
      <c r="A19" t="s">
        <v>61</v>
      </c>
      <c r="B19" s="18">
        <f>B18/(1+Assumptions!B26)^(5-0.5*Assumptions!B32)</f>
        <v>2270148690.2680492</v>
      </c>
    </row>
    <row r="20" spans="1:2" x14ac:dyDescent="0.25">
      <c r="A20" t="s">
        <v>62</v>
      </c>
      <c r="B20" s="18">
        <f>Forecast!B17+B19</f>
        <v>5484634358.580065</v>
      </c>
    </row>
    <row r="21" spans="1:2" x14ac:dyDescent="0.25">
      <c r="A21" t="s">
        <v>63</v>
      </c>
      <c r="B21" s="18">
        <f>-Assumptions!B30</f>
        <v>6724300000</v>
      </c>
    </row>
    <row r="22" spans="1:2" x14ac:dyDescent="0.25">
      <c r="A22" t="s">
        <v>64</v>
      </c>
      <c r="B22" s="18">
        <f>B20+B21</f>
        <v>12208934358.580065</v>
      </c>
    </row>
    <row r="23" spans="1:2" x14ac:dyDescent="0.25">
      <c r="A23" s="19" t="s">
        <v>65</v>
      </c>
      <c r="B23" s="25">
        <f>B22/Assumptions!B31</f>
        <v>7.603970078836612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587.5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914.6915471142878</v>
      </c>
    </row>
    <row r="29" spans="1:2" x14ac:dyDescent="0.25">
      <c r="A29" s="19" t="s">
        <v>73</v>
      </c>
      <c r="B29" s="12">
        <f>B28/B26-1</f>
        <v>0.5569217823221919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0.078921</v>
      </c>
      <c r="B5" s="31">
        <v>10.414550624455444</v>
      </c>
      <c r="C5" s="31">
        <v>10.501199602693308</v>
      </c>
      <c r="D5" s="31">
        <v>10.600851619644216</v>
      </c>
      <c r="E5" s="31">
        <v>10.717493625302964</v>
      </c>
      <c r="F5" s="31">
        <v>10.856928079327073</v>
      </c>
    </row>
    <row r="6" spans="1:6" x14ac:dyDescent="0.25">
      <c r="A6" s="30">
        <v>0.088921</v>
      </c>
      <c r="B6" s="31">
        <v>9.663797794793275</v>
      </c>
      <c r="C6" s="31">
        <v>9.695941014096425</v>
      </c>
      <c r="D6" s="31">
        <v>9.73063118265061</v>
      </c>
      <c r="E6" s="31">
        <v>9.768516698119916</v>
      </c>
      <c r="F6" s="31">
        <v>9.810486457292729</v>
      </c>
    </row>
    <row r="7" spans="1:6" x14ac:dyDescent="0.25">
      <c r="A7" s="30">
        <v>0.098921</v>
      </c>
      <c r="B7" s="31">
        <v>9.1180614021734</v>
      </c>
      <c r="C7" s="31">
        <v>9.132484979877844</v>
      </c>
      <c r="D7" s="32">
        <v>9.14690855758229</v>
      </c>
      <c r="E7" s="31">
        <v>9.161332135286733</v>
      </c>
      <c r="F7" s="31">
        <v>9.175755712991176</v>
      </c>
    </row>
    <row r="8" spans="1:6" x14ac:dyDescent="0.25">
      <c r="A8" s="30">
        <v>0.108921</v>
      </c>
      <c r="B8" s="31">
        <v>8.700314999542407</v>
      </c>
      <c r="C8" s="31">
        <v>8.712891107824424</v>
      </c>
      <c r="D8" s="31">
        <v>8.725467216106443</v>
      </c>
      <c r="E8" s="31">
        <v>8.73804332438846</v>
      </c>
      <c r="F8" s="31">
        <v>8.750619432670478</v>
      </c>
    </row>
    <row r="9" spans="1:6" x14ac:dyDescent="0.25">
      <c r="A9" s="30">
        <v>0.118921</v>
      </c>
      <c r="B9" s="31">
        <v>8.35194081341657</v>
      </c>
      <c r="C9" s="31">
        <v>8.36300334846273</v>
      </c>
      <c r="D9" s="31">
        <v>8.374065883508889</v>
      </c>
      <c r="E9" s="31">
        <v>8.385128418555048</v>
      </c>
      <c r="F9" s="31">
        <v>8.396190953601206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3250700000</v>
      </c>
      <c r="C5" s="18">
        <v>3067000000</v>
      </c>
      <c r="D5" s="18">
        <v>2936700000</v>
      </c>
      <c r="E5" s="18">
        <v>2891700000</v>
      </c>
      <c r="F5" s="8" t="s">
        <v>84</v>
      </c>
    </row>
    <row r="6" spans="1:6" x14ac:dyDescent="0.25">
      <c r="A6" t="s">
        <v>44</v>
      </c>
      <c r="B6" s="18">
        <v>477700000</v>
      </c>
      <c r="C6" s="18">
        <v>468400000</v>
      </c>
      <c r="D6" s="18">
        <v>557000000</v>
      </c>
      <c r="E6" s="18">
        <v>596600000</v>
      </c>
      <c r="F6" s="8" t="s">
        <v>85</v>
      </c>
    </row>
    <row r="7" spans="1:6" x14ac:dyDescent="0.25">
      <c r="A7" t="s">
        <v>86</v>
      </c>
      <c r="B7" s="18">
        <v>182200000</v>
      </c>
      <c r="C7" s="18">
        <v>191100000</v>
      </c>
      <c r="D7" s="18">
        <v>212200000</v>
      </c>
      <c r="E7" s="18">
        <v>188900000</v>
      </c>
      <c r="F7" s="8" t="s">
        <v>87</v>
      </c>
    </row>
    <row r="8" spans="1:6" x14ac:dyDescent="0.25">
      <c r="A8" t="s">
        <v>88</v>
      </c>
      <c r="B8" s="18">
        <v>19100000</v>
      </c>
      <c r="C8" s="18">
        <v>70500000</v>
      </c>
      <c r="D8" s="18">
        <v>79900000</v>
      </c>
      <c r="E8" s="18">
        <v>104300000</v>
      </c>
      <c r="F8" s="8" t="s">
        <v>89</v>
      </c>
    </row>
    <row r="9" spans="1:6" x14ac:dyDescent="0.25">
      <c r="A9" t="s">
        <v>90</v>
      </c>
      <c r="B9" s="18">
        <v>-278900000</v>
      </c>
      <c r="C9" s="18">
        <v>-435100000</v>
      </c>
      <c r="D9" s="18">
        <v>703300000</v>
      </c>
      <c r="E9" s="18">
        <v>-248500000</v>
      </c>
      <c r="F9" s="8" t="s">
        <v>91</v>
      </c>
    </row>
    <row r="10" spans="1:6" x14ac:dyDescent="0.25">
      <c r="A10" t="s">
        <v>92</v>
      </c>
      <c r="B10" s="18">
        <v>573600000</v>
      </c>
      <c r="C10" s="18">
        <v>601700000</v>
      </c>
      <c r="D10" s="18">
        <v>318700000</v>
      </c>
      <c r="E10" s="18">
        <v>361000000</v>
      </c>
      <c r="F10" s="8" t="s">
        <v>93</v>
      </c>
    </row>
    <row r="11" spans="1:6" x14ac:dyDescent="0.25">
      <c r="A11" t="s">
        <v>94</v>
      </c>
      <c r="B11" s="18">
        <v>7297900000</v>
      </c>
      <c r="C11" s="18">
        <v>6782500000</v>
      </c>
      <c r="D11" s="18">
        <v>6157700000</v>
      </c>
      <c r="E11" s="18">
        <v>5639800000</v>
      </c>
      <c r="F11" s="8" t="s">
        <v>95</v>
      </c>
    </row>
    <row r="12" spans="1:6" x14ac:dyDescent="0.25">
      <c r="A12" t="s">
        <v>32</v>
      </c>
      <c r="B12" s="34">
        <v>1605600000</v>
      </c>
      <c r="C12" s="34">
        <v>1605100000</v>
      </c>
      <c r="D12" s="34">
        <v>1604200000</v>
      </c>
      <c r="E12" s="34">
        <v>1604400000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2026-09-19T00:07:15Z</dcterms:modified>
</cp:coreProperties>
</file>