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<sst xmlns="http://schemas.openxmlformats.org/spreadsheetml/2006/main" count="115" uniqueCount="102">
  <si>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Skandinaviska Enskilda Banken AB (publ) (SEB-A.ST)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</si>
  <si>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</si>
  <si>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</si>
  <si>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</si>
  <si>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</si>
  <si>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</si>
  <si>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</si>
  <si>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</si>
  <si>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</si>
  <si>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</si>
  <si>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</si>
  <si>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</si>
  <si>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</si>
  <si>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</si>
  <si>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</si>
  <si>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</si>
  <si>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</si>
  <si>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</si>
  <si>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</si>
  <si>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</si>
  <si>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</si>
  <si>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</si>
  <si>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</si>
  <si>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</si>
  <si>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</si>
  <si>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</si>
  <si>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</si>
  <si>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</si>
  <si>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</si>
  <si>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</si>
  <si>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</si>
  <si>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</si>
  <si>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</si>
  <si>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</si>
  <si>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</si>
  <si>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</si>
  <si>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</si>
  <si>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</si>
  <si>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</si>
  <si>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</si>
  <si>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</si>
  <si>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</si>
  <si>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</si>
  <si>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</si>
  <si>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</si>
  <si>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</si>
  <si>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</si>
  <si>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</si>
  <si>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</si>
  <si>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</si>
  <si>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</si>
  <si>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</si>
  <si>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</si>
  <si>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</si>
  <si>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</si>
  <si>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</si>
  <si>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</si>
  <si>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</si>
  <si>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</si>
  <si>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</si>
  <si>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</si>
  <si>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</si>
  <si>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</si>
  <si>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</si>
  <si>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</si>
  <si>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</si>
  <si>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</si>
  <si>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</si>
  <si>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</si>
  <si>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</si>
  <si>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</si>
  <si>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</si>
  <si>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</si>
  <si>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</si>
  <si>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</si>
  <si>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</si>
  <si>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</si>
  <si>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</si>
  <si>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</si>
  <si>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</si>
  <si>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</si>
  <si>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</si>
  <si>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</si>
  <si>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</si>
  <si>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</si>
  <si>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</si>
  <si>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</si>
  <si>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</si>
  <si>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</si>
  <si>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</si>
  <si>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</si>
  <si>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</si>
  <si>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</si>
  <si>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</si>
  <si>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</si>
  <si>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</si>
  <si>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</si>
  <si>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</si>
  <si>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</si>
  <si>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Note: Risk-free rate is an assumption: USD assumption - no free live source available for this market.</t>
  </si>
  <si>
    <t>Current EV/EBITDA of 25.0x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</si>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</sst>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0.061300566292383785</v>
      </c>
    </row>
    <row r="7" spans="1:2" x14ac:dyDescent="0.25">
      <c r="A7" t="s">
        <v>5</v>
      </c>
      <c r="B7" s="6">
        <v>0.5480327043060353</v>
      </c>
    </row>
    <row r="8" spans="1:2" x14ac:dyDescent="0.25">
      <c r="A8" t="s">
        <v>6</v>
      </c>
      <c r="B8" s="6">
        <v>0.20435487243652378</v>
      </c>
    </row>
    <row r="9" spans="1:2" x14ac:dyDescent="0.25">
      <c r="A9" t="s">
        <v>7</v>
      </c>
      <c r="B9" s="6">
        <v>0.02777430306349106</v>
      </c>
    </row>
    <row r="10" spans="1:2" x14ac:dyDescent="0.25">
      <c r="A10" t="s">
        <v>8</v>
      </c>
      <c r="B10" s="6">
        <v>0.01525251468693564</v>
      </c>
    </row>
    <row r="11" spans="1:2" x14ac:dyDescent="0.25">
      <c r="A11" t="s">
        <v>9</v>
      </c>
      <c r="B11" s="6">
        <v>0.06234671485736414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0.07086630763196147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0.6201099999999999</v>
      </c>
      <c r="C19" s="8" t="s">
        <v>19</v>
      </c>
    </row>
    <row r="20" spans="1:2" x14ac:dyDescent="0.25">
      <c r="A20" t="s">
        <v>20</v>
      </c>
      <c r="B20" s="10">
        <f>B17+B19*B18</f>
        <v>0.08230715</v>
      </c>
    </row>
    <row r="21" spans="1:3" x14ac:dyDescent="0.25">
      <c r="A21" t="s">
        <v>21</v>
      </c>
      <c r="B21" s="6">
        <v>0.08191319840357153</v>
      </c>
      <c r="C21" s="8" t="s">
        <v>22</v>
      </c>
    </row>
    <row r="22" spans="1:2" x14ac:dyDescent="0.25">
      <c r="A22" t="s">
        <v>23</v>
      </c>
      <c r="B22" s="11">
        <v>443052556288</v>
      </c>
    </row>
    <row r="23" spans="1:2" x14ac:dyDescent="0.25">
      <c r="A23" t="s">
        <v>24</v>
      </c>
      <c r="B23" s="11">
        <v>890456000000</v>
      </c>
    </row>
    <row r="24" spans="1:2" x14ac:dyDescent="0.25">
      <c r="A24" t="s">
        <v>25</v>
      </c>
      <c r="B24" s="10">
        <f>B22/(B22+B23)</f>
        <v>0.3322457544039284</v>
      </c>
    </row>
    <row r="25" spans="1:2" x14ac:dyDescent="0.25">
      <c r="A25" t="s">
        <v>26</v>
      </c>
      <c r="B25" s="10">
        <f>1-B24</f>
        <v>0.6677542455960717</v>
      </c>
    </row>
    <row r="26" spans="1:2" x14ac:dyDescent="0.25">
      <c r="A26" t="s">
        <v>27</v>
      </c>
      <c r="B26" s="12">
        <f>B24*B20+B25*B21*(1-B8)</f>
        <v>0.07086630763196147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77063000000</v>
      </c>
      <c r="C29" s="8" t="s">
        <v>30</v>
      </c>
    </row>
    <row r="30" spans="1:2" x14ac:dyDescent="0.25">
      <c r="A30" t="s">
        <v>31</v>
      </c>
      <c r="B30" s="11">
        <v>590597000000</v>
      </c>
    </row>
    <row r="31" spans="1:2" x14ac:dyDescent="0.25">
      <c r="A31" t="s">
        <v>32</v>
      </c>
      <c r="B31" s="13">
        <v>2014000000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0.061300566292383785</v>
      </c>
      <c r="C5" s="10">
        <f>Assumptions!B6</f>
        <v>0.061300566292383785</v>
      </c>
      <c r="D5" s="10">
        <f>Assumptions!B6</f>
        <v>0.061300566292383785</v>
      </c>
      <c r="E5" s="10">
        <f>Assumptions!B6</f>
        <v>0.061300566292383785</v>
      </c>
      <c r="F5" s="10">
        <f>Assumptions!B6</f>
        <v>0.061300566292383785</v>
      </c>
    </row>
    <row r="6" spans="1:6" x14ac:dyDescent="0.25">
      <c r="A6" t="s">
        <v>43</v>
      </c>
      <c r="B6" s="18">
        <f>Assumptions!B29*(1+B5)</f>
        <v>81787005540.18997</v>
      </c>
      <c r="C6" s="18">
        <f>B6*(1+C5)</f>
        <v>86800595295.16194</v>
      </c>
      <c r="D6" s="18">
        <f>C6*(1+D5)</f>
        <v>92121520941.2714</v>
      </c>
      <c r="E6" s="18">
        <f>D6*(1+E5)</f>
        <v>97768622342.68703</v>
      </c>
      <c r="F6" s="18">
        <f>E6*(1+F5)</f>
        <v>103761894257.91995</v>
      </c>
    </row>
    <row r="7" spans="1:6" x14ac:dyDescent="0.25">
      <c r="A7" t="s">
        <v>5</v>
      </c>
      <c r="B7" s="10">
        <f>Assumptions!B7</f>
        <v>0.5480327043060353</v>
      </c>
      <c r="C7" s="10">
        <f>Assumptions!B7</f>
        <v>0.5480327043060353</v>
      </c>
      <c r="D7" s="10">
        <f>Assumptions!B7</f>
        <v>0.5480327043060353</v>
      </c>
      <c r="E7" s="10">
        <f>Assumptions!B7</f>
        <v>0.5480327043060353</v>
      </c>
      <c r="F7" s="10">
        <f>Assumptions!B7</f>
        <v>0.5480327043060353</v>
      </c>
    </row>
    <row r="8" spans="1:6" x14ac:dyDescent="0.25">
      <c r="A8" t="s">
        <v>44</v>
      </c>
      <c r="B8" s="18">
        <f>B6*B7</f>
        <v>44821953823.283005</v>
      </c>
      <c r="C8" s="18">
        <f>C6*C7</f>
        <v>47569564974.98133</v>
      </c>
      <c r="D8" s="18">
        <f>D6*D7</f>
        <v>50485606246.23003</v>
      </c>
      <c r="E8" s="18">
        <f>E6*E7</f>
        <v>53580402498.73824</v>
      </c>
      <c r="F8" s="18">
        <f>F6*F7</f>
        <v>56864911514.084755</v>
      </c>
    </row>
    <row r="9" spans="1:6" x14ac:dyDescent="0.25">
      <c r="A9" t="s">
        <v>45</v>
      </c>
      <c r="B9" s="18">
        <f>B8*(1-Assumptions!B8)</f>
        <v>35662369167.37025</v>
      </c>
      <c r="C9" s="18">
        <f>C8*(1-Assumptions!B8)</f>
        <v>37848492592.65809</v>
      </c>
      <c r="D9" s="18">
        <f>D8*(1-Assumptions!B8)</f>
        <v>40168626621.901115</v>
      </c>
      <c r="E9" s="18">
        <f>E8*(1-Assumptions!B8)</f>
        <v>42630986181.01099</v>
      </c>
      <c r="F9" s="18">
        <f>F8*(1-Assumptions!B8)</f>
        <v>45244289775.50975</v>
      </c>
    </row>
    <row r="10" spans="1:6" x14ac:dyDescent="0.25">
      <c r="A10" t="s">
        <v>46</v>
      </c>
      <c r="B10" s="18">
        <f>B6*Assumptions!B9</f>
        <v>2271577078.5286584</v>
      </c>
      <c r="C10" s="18">
        <f>C6*Assumptions!B9</f>
        <v>2410826039.819264</v>
      </c>
      <c r="D10" s="18">
        <f>D6*Assumptions!B9</f>
        <v>2558611041.2926097</v>
      </c>
      <c r="E10" s="18">
        <f>E6*Assumptions!B9</f>
        <v>2715455347.0457926</v>
      </c>
      <c r="F10" s="18">
        <f>F6*Assumptions!B9</f>
        <v>2881914297.5613813</v>
      </c>
    </row>
    <row r="11" spans="1:6" x14ac:dyDescent="0.25">
      <c r="A11" t="s">
        <v>47</v>
      </c>
      <c r="B11" s="18">
        <f>-B6*Assumptions!B10</f>
        <v>-1247457503.202234</v>
      </c>
      <c r="C11" s="18">
        <f>-C6*Assumptions!B10</f>
        <v>-1323927354.5742142</v>
      </c>
      <c r="D11" s="18">
        <f>-D6*Assumptions!B10</f>
        <v>-1405084851.139591</v>
      </c>
      <c r="E11" s="18">
        <f>-E6*Assumptions!B10</f>
        <v>-1491217348.2032979</v>
      </c>
      <c r="F11" s="18">
        <f>-F6*Assumptions!B10</f>
        <v>-1582629816.113187</v>
      </c>
    </row>
    <row r="12" spans="1:6" x14ac:dyDescent="0.25">
      <c r="A12" t="s">
        <v>48</v>
      </c>
      <c r="B12" s="18">
        <f>-(B6-Assumptions!B29)*Assumptions!B11</f>
        <v>-294526226.3988326</v>
      </c>
      <c r="C12" s="18">
        <f>-(C6-B6)*Assumptions!B11</f>
        <v>-312580850.8650395</v>
      </c>
      <c r="D12" s="18">
        <f>-(D6-C6)*Assumptions!B11</f>
        <v>-331742234.03522205</v>
      </c>
      <c r="E12" s="18">
        <f>-(E6-D6)*Assumptions!B11</f>
        <v>-352078220.844682</v>
      </c>
      <c r="F12" s="18">
        <f>-(F6-E6)*Assumptions!B11</f>
        <v>-373660815.1616759</v>
      </c>
    </row>
    <row r="13" spans="1:6" x14ac:dyDescent="0.25">
      <c r="A13" s="19" t="s">
        <v>49</v>
      </c>
      <c r="B13" s="20">
        <f>B9+B10+B11+B12</f>
        <v>36391962516.29784</v>
      </c>
      <c r="C13" s="20">
        <f>C9+C10+C11+C12</f>
        <v>38622810427.03811</v>
      </c>
      <c r="D13" s="20">
        <f>D9+D10+D11+D12</f>
        <v>40990410578.01891</v>
      </c>
      <c r="E13" s="20">
        <f>E9+E10+E11+E12</f>
        <v>43503145959.0088</v>
      </c>
      <c r="F13" s="20">
        <f>F9+F10+F11+F12</f>
        <v>46169913441.796265</v>
      </c>
    </row>
    <row r="14" spans="1:6" x14ac:dyDescent="0.25">
      <c r="A14" t="s">
        <v>50</v>
      </c>
      <c r="B14" s="21">
        <f>1/(1+Assumptions!$B$26)^(1-0.5*Assumptions!$B$32)</f>
        <v>0.9663453754961995</v>
      </c>
      <c r="C14" s="21">
        <f>1/(1+Assumptions!$B$26)^(2-0.5*Assumptions!$B$32)</f>
        <v>0.9023959093765007</v>
      </c>
      <c r="D14" s="21">
        <f>1/(1+Assumptions!$B$26)^(3-0.5*Assumptions!$B$32)</f>
        <v>0.8426784024721028</v>
      </c>
      <c r="E14" s="21">
        <f>1/(1+Assumptions!$B$26)^(4-0.5*Assumptions!$B$32)</f>
        <v>0.7869127980462308</v>
      </c>
      <c r="F14" s="21">
        <f>1/(1+Assumptions!$B$26)^(5-0.5*Assumptions!$B$32)</f>
        <v>0.73483757256903</v>
      </c>
    </row>
    <row r="15" spans="1:6" x14ac:dyDescent="0.25">
      <c r="A15" s="19" t="s">
        <v>51</v>
      </c>
      <c r="B15" s="20">
        <f>B13*B14</f>
        <v>35167204682.855446</v>
      </c>
      <c r="C15" s="20">
        <f>C13*C14</f>
        <v>34853066137.983246</v>
      </c>
      <c r="D15" s="20">
        <f>D13*D14</f>
        <v>34541733702.56056</v>
      </c>
      <c r="E15" s="20">
        <f>E13*E14</f>
        <v>34233182310.41719</v>
      </c>
      <c r="F15" s="20">
        <f>F13*F14</f>
        <v>33927387119.291798</v>
      </c>
    </row>
    <row r="17" spans="1:2" x14ac:dyDescent="0.25">
      <c r="A17" s="22" t="s">
        <v>52</v>
      </c>
      <c r="B17" s="23">
        <f>SUM(B15:F15)</f>
        <v>172722573953.10825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46169913441.796265</v>
      </c>
    </row>
    <row r="5" spans="1:2" x14ac:dyDescent="0.25">
      <c r="A5" t="s">
        <v>56</v>
      </c>
      <c r="B5" s="18">
        <f>IF(Assumptions!$B$33=0,B4,B4-Forecast!F11-Forecast!F10-Forecast!F12)</f>
        <v>45244289775.50975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0.35277695191677705</v>
      </c>
    </row>
    <row r="7" spans="1:2" x14ac:dyDescent="0.25">
      <c r="A7" t="s">
        <v>58</v>
      </c>
      <c r="B7" s="18">
        <f>-MAX(Forecast!F9,0)*B6</f>
        <v>-15961142638.64373</v>
      </c>
    </row>
    <row r="8" spans="1:2" x14ac:dyDescent="0.25">
      <c r="A8" t="s">
        <v>59</v>
      </c>
      <c r="B8" s="18">
        <f>IF(OR(Assumptions!$B$33=0,Assumptions!B12&lt;=0),B5,MAX(B5+B7,0))</f>
        <v>29283147136.86602</v>
      </c>
    </row>
    <row r="9" spans="1:2" x14ac:dyDescent="0.25">
      <c r="A9" t="s">
        <v>60</v>
      </c>
      <c r="B9" s="18">
        <f>B8*(1+Assumptions!B12)/(Assumptions!B26-Assumptions!B12)</f>
        <v>654406848184.3928</v>
      </c>
    </row>
    <row r="10" spans="1:2" x14ac:dyDescent="0.25">
      <c r="A10" t="s">
        <v>61</v>
      </c>
      <c r="B10" s="18">
        <f>B9/(1+Assumptions!B26)^(5-0.5*Assumptions!B32)</f>
        <v>480882739792.36896</v>
      </c>
    </row>
    <row r="11" spans="1:2" x14ac:dyDescent="0.25">
      <c r="A11" t="s">
        <v>62</v>
      </c>
      <c r="B11" s="18">
        <f>Forecast!B17+B10</f>
        <v>653605313745.4772</v>
      </c>
    </row>
    <row r="12" spans="1:2" x14ac:dyDescent="0.25">
      <c r="A12" t="s">
        <v>63</v>
      </c>
      <c r="B12" s="18">
        <f>-Assumptions!B30</f>
        <v>-590597000000</v>
      </c>
    </row>
    <row r="13" spans="1:2" x14ac:dyDescent="0.25">
      <c r="A13" t="s">
        <v>64</v>
      </c>
      <c r="B13" s="18">
        <f>B11+B12</f>
        <v>63008313745.47717</v>
      </c>
    </row>
    <row r="14" spans="1:2" x14ac:dyDescent="0.25">
      <c r="A14" s="19" t="s">
        <v>65</v>
      </c>
      <c r="B14" s="24">
        <f>B13/Assumptions!B31</f>
        <v>31.285160747506044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59746825811.64613</v>
      </c>
    </row>
    <row r="18" spans="1:2" x14ac:dyDescent="0.25">
      <c r="A18" t="s">
        <v>60</v>
      </c>
      <c r="B18" s="18">
        <f>B17*Assumptions!B13</f>
        <v>1194936516232.9226</v>
      </c>
    </row>
    <row r="19" spans="1:2" x14ac:dyDescent="0.25">
      <c r="A19" t="s">
        <v>61</v>
      </c>
      <c r="B19" s="18">
        <f>B18/(1+Assumptions!B26)^(5-0.5*Assumptions!B32)</f>
        <v>878084248962.6942</v>
      </c>
    </row>
    <row r="20" spans="1:2" x14ac:dyDescent="0.25">
      <c r="A20" t="s">
        <v>62</v>
      </c>
      <c r="B20" s="18">
        <f>Forecast!B17+B19</f>
        <v>1050806822915.8025</v>
      </c>
    </row>
    <row r="21" spans="1:2" x14ac:dyDescent="0.25">
      <c r="A21" t="s">
        <v>63</v>
      </c>
      <c r="B21" s="18">
        <f>-Assumptions!B30</f>
        <v>-590597000000</v>
      </c>
    </row>
    <row r="22" spans="1:2" x14ac:dyDescent="0.25">
      <c r="A22" t="s">
        <v>64</v>
      </c>
      <c r="B22" s="18">
        <f>B20+B21</f>
        <v>460209822915.8025</v>
      </c>
    </row>
    <row r="23" spans="1:2" x14ac:dyDescent="0.25">
      <c r="A23" s="19" t="s">
        <v>65</v>
      </c>
      <c r="B23" s="25">
        <f>B22/Assumptions!B31</f>
        <v>228.50537384101415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227.8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31.285160747506044</v>
      </c>
    </row>
    <row r="29" spans="1:2" x14ac:dyDescent="0.25">
      <c r="A29" s="19" t="s">
        <v>73</v>
      </c>
      <c r="B29" s="12">
        <f>B28/B26-1</f>
        <v>-0.8626639124341262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0.050866</v>
      </c>
      <c r="B5" s="31">
        <v>155.23047361433575</v>
      </c>
      <c r="C5" s="31">
        <v>156.99685179735448</v>
      </c>
      <c r="D5" s="31">
        <v>158.76322998037324</v>
      </c>
      <c r="E5" s="31">
        <v>160.5296081633919</v>
      </c>
      <c r="F5" s="31">
        <v>162.29598634641064</v>
      </c>
    </row>
    <row r="6" spans="1:6" x14ac:dyDescent="0.25">
      <c r="A6" s="30">
        <v>0.060866</v>
      </c>
      <c r="B6" s="31">
        <v>81.70302190893216</v>
      </c>
      <c r="C6" s="31">
        <v>83.11760076743411</v>
      </c>
      <c r="D6" s="31">
        <v>84.53217962593595</v>
      </c>
      <c r="E6" s="31">
        <v>85.9467584844378</v>
      </c>
      <c r="F6" s="31">
        <v>87.36133734293975</v>
      </c>
    </row>
    <row r="7" spans="1:6" x14ac:dyDescent="0.25">
      <c r="A7" s="30">
        <v>0.070866</v>
      </c>
      <c r="B7" s="31">
        <v>28.957090730872963</v>
      </c>
      <c r="C7" s="31">
        <v>30.12182890264226</v>
      </c>
      <c r="D7" s="32">
        <v>31.286567074411373</v>
      </c>
      <c r="E7" s="31">
        <v>32.45130524618072</v>
      </c>
      <c r="F7" s="31">
        <v>33.61604341794996</v>
      </c>
    </row>
    <row r="8" spans="1:6" x14ac:dyDescent="0.25">
      <c r="A8" s="30">
        <v>0.080866</v>
      </c>
      <c r="B8" s="31">
        <v>-10.71823998659942</v>
      </c>
      <c r="C8" s="31">
        <v>-9.739347487000542</v>
      </c>
      <c r="D8" s="31">
        <v>-8.760454987401666</v>
      </c>
      <c r="E8" s="31">
        <v>-7.781562487802788</v>
      </c>
      <c r="F8" s="31">
        <v>-6.802669988203911</v>
      </c>
    </row>
    <row r="9" spans="1:6" x14ac:dyDescent="0.25">
      <c r="A9" s="30">
        <v>0.090866</v>
      </c>
      <c r="B9" s="31">
        <v>-41.639413059350176</v>
      </c>
      <c r="C9" s="31">
        <v>-40.803614580730724</v>
      </c>
      <c r="D9" s="31">
        <v>-39.96781610211133</v>
      </c>
      <c r="E9" s="31">
        <v>-39.13201762349185</v>
      </c>
      <c r="F9" s="31">
        <v>-38.29621914487243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77063000000</v>
      </c>
      <c r="C5" s="18">
        <v>81611000000</v>
      </c>
      <c r="D5" s="18">
        <v>79960000000</v>
      </c>
      <c r="E5" s="18">
        <v>64466000000</v>
      </c>
      <c r="F5" s="8" t="s">
        <v>84</v>
      </c>
    </row>
    <row r="6" spans="1:6" x14ac:dyDescent="0.25">
      <c r="A6" t="s">
        <v>44</v>
      </c>
      <c r="B6" s="18">
        <v>38898000000</v>
      </c>
      <c r="C6" s="18">
        <v>46043000000</v>
      </c>
      <c r="D6" s="18">
        <v>47963000000</v>
      </c>
      <c r="E6" s="18">
        <v>33739000000</v>
      </c>
      <c r="F6" s="8" t="s">
        <v>85</v>
      </c>
    </row>
    <row r="7" spans="1:6" x14ac:dyDescent="0.25">
      <c r="A7" t="s">
        <v>86</v>
      </c>
      <c r="B7" s="18">
        <v>2366000000</v>
      </c>
      <c r="C7" s="18">
        <v>2170000000</v>
      </c>
      <c r="D7" s="18">
        <v>1963000000</v>
      </c>
      <c r="E7" s="18">
        <v>1886000000</v>
      </c>
      <c r="F7" s="8" t="s">
        <v>87</v>
      </c>
    </row>
    <row r="8" spans="1:6" x14ac:dyDescent="0.25">
      <c r="A8" t="s">
        <v>88</v>
      </c>
      <c r="B8" s="18">
        <v>1352000000</v>
      </c>
      <c r="C8" s="18">
        <v>1189000000</v>
      </c>
      <c r="D8" s="18">
        <v>1038000000</v>
      </c>
      <c r="E8" s="18">
        <v>1026000000</v>
      </c>
      <c r="F8" s="8" t="s">
        <v>89</v>
      </c>
    </row>
    <row r="9" spans="1:6" x14ac:dyDescent="0.25">
      <c r="A9" t="s">
        <v>90</v>
      </c>
      <c r="B9" s="18">
        <v>-1254000000</v>
      </c>
      <c r="C9" s="18">
        <v>-16950000000</v>
      </c>
      <c r="D9" s="18">
        <v>966000000</v>
      </c>
      <c r="E9" s="18">
        <v>132114000000</v>
      </c>
      <c r="F9" s="8" t="s">
        <v>85</v>
      </c>
    </row>
    <row r="10" spans="1:6" x14ac:dyDescent="0.25">
      <c r="A10" t="s">
        <v>91</v>
      </c>
      <c r="B10" s="18">
        <v>890456000000</v>
      </c>
      <c r="C10" s="18">
        <v>953911000000</v>
      </c>
      <c r="D10" s="18">
        <v>904977000000</v>
      </c>
      <c r="E10" s="18">
        <v>830984000000</v>
      </c>
      <c r="F10" s="8" t="s">
        <v>92</v>
      </c>
    </row>
    <row r="11" spans="1:6" x14ac:dyDescent="0.25">
      <c r="A11" t="s">
        <v>93</v>
      </c>
      <c r="B11" s="18">
        <v>299859000000</v>
      </c>
      <c r="C11" s="18">
        <v>275619000000</v>
      </c>
      <c r="D11" s="18">
        <v>409073000000</v>
      </c>
      <c r="E11" s="18">
        <v>449269000000</v>
      </c>
      <c r="F11" s="8" t="s">
        <v>94</v>
      </c>
    </row>
    <row r="12" spans="1:6" x14ac:dyDescent="0.25">
      <c r="A12" t="s">
        <v>32</v>
      </c>
      <c r="B12" s="34">
        <v>2014000000</v>
      </c>
      <c r="C12" s="34">
        <v>2070000000</v>
      </c>
      <c r="D12" s="34">
        <v>2110000000</v>
      </c>
      <c r="E12" s="34">
        <v>2153000000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38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