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<sst xmlns="http://schemas.openxmlformats.org/spreadsheetml/2006/main" count="112" uniqueCount="100">
  <si>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SEEK Limited (SEK.AX)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</si>
  <si>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</si>
  <si>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</si>
  <si>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</si>
  <si>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</si>
  <si>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</si>
  <si>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</si>
  <si>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</si>
  <si>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</si>
  <si>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</si>
  <si>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</si>
  <si>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</si>
  <si>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</si>
  <si>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</si>
  <si>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</si>
  <si>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</si>
  <si>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</si>
  <si>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</si>
  <si>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</si>
  <si>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</si>
  <si>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</si>
  <si>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</si>
  <si>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</si>
  <si>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</si>
  <si>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</si>
  <si>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</si>
  <si>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</si>
  <si>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</si>
  <si>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</si>
  <si>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</si>
  <si>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</si>
  <si>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</si>
  <si>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</si>
  <si>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</si>
  <si>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</si>
  <si>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</si>
  <si>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</si>
  <si>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</si>
  <si>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</si>
  <si>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</si>
  <si>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</si>
  <si>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</si>
  <si>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</si>
  <si>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</si>
  <si>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</si>
  <si>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</si>
  <si>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</si>
  <si>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</si>
  <si>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</si>
  <si>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</si>
  <si>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</si>
  <si>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</si>
  <si>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</si>
  <si>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</si>
  <si>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</si>
  <si>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</si>
  <si>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</si>
  <si>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</si>
  <si>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</si>
  <si>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</si>
  <si>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</si>
  <si>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</si>
  <si>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</si>
  <si>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</si>
  <si>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</si>
  <si>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</si>
  <si>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</si>
  <si>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</si>
  <si>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</si>
  <si>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</si>
  <si>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</si>
  <si>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</si>
  <si>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</si>
  <si>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</si>
  <si>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</si>
  <si>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</si>
  <si>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</si>
  <si>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</si>
  <si>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</si>
  <si>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</si>
  <si>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</si>
  <si>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</si>
  <si>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</si>
  <si>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</si>
  <si>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</si>
  <si>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</si>
  <si>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</si>
  <si>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</si>
  <si>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</si>
  <si>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</si>
  <si>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</si>
  <si>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</si>
  <si>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</si>
  <si>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</si>
  <si>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</si>
  <si>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</si>
  <si>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</si>
  <si>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</si>
  <si>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Adjusted: Some line items were not reported and have been derived. Each one is labelled in the workings below.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</si>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</sst>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0.01577318535001604</v>
      </c>
    </row>
    <row r="7" spans="1:2" x14ac:dyDescent="0.25">
      <c r="A7" t="s">
        <v>5</v>
      </c>
      <c r="B7" s="6">
        <v>0.26774642524524556</v>
      </c>
    </row>
    <row r="8" spans="1:2" x14ac:dyDescent="0.25">
      <c r="A8" t="s">
        <v>6</v>
      </c>
      <c r="B8" s="6">
        <v>0.274346737942665</v>
      </c>
    </row>
    <row r="9" spans="1:2" x14ac:dyDescent="0.25">
      <c r="A9" t="s">
        <v>7</v>
      </c>
      <c r="B9" s="6">
        <v>0.11747969318686487</v>
      </c>
    </row>
    <row r="10" spans="1:2" x14ac:dyDescent="0.25">
      <c r="A10" t="s">
        <v>8</v>
      </c>
      <c r="B10" s="6">
        <v>0.13677427478392984</v>
      </c>
    </row>
    <row r="11" spans="1:2" x14ac:dyDescent="0.25">
      <c r="A11" t="s">
        <v>9</v>
      </c>
      <c r="B11" s="6">
        <v>-0.030448717948717948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11.328771720453089</v>
      </c>
    </row>
    <row r="14" spans="1:3" x14ac:dyDescent="0.25">
      <c r="A14" t="s">
        <v>12</v>
      </c>
      <c r="B14" s="6">
        <v>0.09359956531832807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0.94104</v>
      </c>
      <c r="C19" s="8" t="s">
        <v>19</v>
      </c>
    </row>
    <row r="20" spans="1:2" x14ac:dyDescent="0.25">
      <c r="A20" t="s">
        <v>20</v>
      </c>
      <c r="B20" s="10">
        <f>B17+B19*B18</f>
        <v>0.1099424</v>
      </c>
    </row>
    <row r="21" spans="1:3" x14ac:dyDescent="0.25">
      <c r="A21" t="s">
        <v>21</v>
      </c>
      <c r="B21" s="6">
        <v>0.05458151527171757</v>
      </c>
      <c r="C21" s="8" t="s">
        <v>22</v>
      </c>
    </row>
    <row r="22" spans="1:2" x14ac:dyDescent="0.25">
      <c r="A22" t="s">
        <v>23</v>
      </c>
      <c r="B22" s="11">
        <v>4173932288</v>
      </c>
    </row>
    <row r="23" spans="1:2" x14ac:dyDescent="0.25">
      <c r="A23" t="s">
        <v>24</v>
      </c>
      <c r="B23" s="11">
        <v>1263400000</v>
      </c>
    </row>
    <row r="24" spans="1:2" x14ac:dyDescent="0.25">
      <c r="A24" t="s">
        <v>25</v>
      </c>
      <c r="B24" s="10">
        <f>B22/(B22+B23)</f>
        <v>0.7676434080020677</v>
      </c>
    </row>
    <row r="25" spans="1:2" x14ac:dyDescent="0.25">
      <c r="A25" t="s">
        <v>26</v>
      </c>
      <c r="B25" s="10">
        <f>1-B24</f>
        <v>0.23235659199793235</v>
      </c>
    </row>
    <row r="26" spans="1:2" x14ac:dyDescent="0.25">
      <c r="A26" t="s">
        <v>27</v>
      </c>
      <c r="B26" s="12">
        <f>B24*B20+B25*B21*(1-B8)</f>
        <v>0.09359956531832807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1284200000</v>
      </c>
      <c r="C29" s="8" t="s">
        <v>30</v>
      </c>
    </row>
    <row r="30" spans="1:2" x14ac:dyDescent="0.25">
      <c r="A30" t="s">
        <v>31</v>
      </c>
      <c r="B30" s="11">
        <v>1126800000</v>
      </c>
    </row>
    <row r="31" spans="1:2" x14ac:dyDescent="0.25">
      <c r="A31" t="s">
        <v>32</v>
      </c>
      <c r="B31" s="13">
        <v>357001901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0.01577318535001604</v>
      </c>
      <c r="C5" s="10">
        <f>Assumptions!B6</f>
        <v>0.01577318535001604</v>
      </c>
      <c r="D5" s="10">
        <f>Assumptions!B6</f>
        <v>0.01577318535001604</v>
      </c>
      <c r="E5" s="10">
        <f>Assumptions!B6</f>
        <v>0.01577318535001604</v>
      </c>
      <c r="F5" s="10">
        <f>Assumptions!B6</f>
        <v>0.01577318535001604</v>
      </c>
    </row>
    <row r="6" spans="1:6" x14ac:dyDescent="0.25">
      <c r="A6" t="s">
        <v>43</v>
      </c>
      <c r="B6" s="18">
        <f>Assumptions!B29*(1+B5)</f>
        <v>1304455924.6264906</v>
      </c>
      <c r="C6" s="18">
        <f>B6*(1+C5)</f>
        <v>1325031349.7065508</v>
      </c>
      <c r="D6" s="18">
        <f>C6*(1+D5)</f>
        <v>1345931314.780054</v>
      </c>
      <c r="E6" s="18">
        <f>D6*(1+E5)</f>
        <v>1367160938.8764706</v>
      </c>
      <c r="F6" s="18">
        <f>E6*(1+F5)</f>
        <v>1388725421.768671</v>
      </c>
    </row>
    <row r="7" spans="1:6" x14ac:dyDescent="0.25">
      <c r="A7" t="s">
        <v>5</v>
      </c>
      <c r="B7" s="10">
        <f>Assumptions!B7</f>
        <v>0.26774642524524556</v>
      </c>
      <c r="C7" s="10">
        <f>Assumptions!B7</f>
        <v>0.26774642524524556</v>
      </c>
      <c r="D7" s="10">
        <f>Assumptions!B7</f>
        <v>0.26774642524524556</v>
      </c>
      <c r="E7" s="10">
        <f>Assumptions!B7</f>
        <v>0.26774642524524556</v>
      </c>
      <c r="F7" s="10">
        <f>Assumptions!B7</f>
        <v>0.26774642524524556</v>
      </c>
    </row>
    <row r="8" spans="1:6" x14ac:dyDescent="0.25">
      <c r="A8" t="s">
        <v>44</v>
      </c>
      <c r="B8" s="18">
        <f>B6*B7</f>
        <v>349263410.7087243</v>
      </c>
      <c r="C8" s="18">
        <f>C6*C7</f>
        <v>354772407.22181183</v>
      </c>
      <c r="D8" s="18">
        <f>D6*D7</f>
        <v>360368298.15799284</v>
      </c>
      <c r="E8" s="18">
        <f>E6*E7</f>
        <v>366052454.1191087</v>
      </c>
      <c r="F8" s="18">
        <f>F6*F7</f>
        <v>371826267.32575756</v>
      </c>
    </row>
    <row r="9" spans="1:6" x14ac:dyDescent="0.25">
      <c r="A9" t="s">
        <v>45</v>
      </c>
      <c r="B9" s="18">
        <f>B8*(1-Assumptions!B8)</f>
        <v>253444133.29805657</v>
      </c>
      <c r="C9" s="18">
        <f>C8*(1-Assumptions!B8)</f>
        <v>257441754.588441</v>
      </c>
      <c r="D9" s="18">
        <f>D8*(1-Assumptions!B8)</f>
        <v>261502431.10039783</v>
      </c>
      <c r="E9" s="18">
        <f>E8*(1-Assumptions!B8)</f>
        <v>265627157.41562417</v>
      </c>
      <c r="F9" s="18">
        <f>F8*(1-Assumptions!B8)</f>
        <v>269816943.8035387</v>
      </c>
    </row>
    <row r="10" spans="1:6" x14ac:dyDescent="0.25">
      <c r="A10" t="s">
        <v>46</v>
      </c>
      <c r="B10" s="18">
        <f>B6*Assumptions!B9</f>
        <v>153247081.80090824</v>
      </c>
      <c r="C10" s="18">
        <f>C6*Assumptions!B9</f>
        <v>155664276.42650303</v>
      </c>
      <c r="D10" s="18">
        <f>D6*Assumptions!B9</f>
        <v>158119597.9109544</v>
      </c>
      <c r="E10" s="18">
        <f>E6*Assumptions!B9</f>
        <v>160613647.63627386</v>
      </c>
      <c r="F10" s="18">
        <f>F6*Assumptions!B9</f>
        <v>163147036.47018299</v>
      </c>
    </row>
    <row r="11" spans="1:6" x14ac:dyDescent="0.25">
      <c r="A11" t="s">
        <v>47</v>
      </c>
      <c r="B11" s="18">
        <f>-B6*Assumptions!B10</f>
        <v>-178416013.0783889</v>
      </c>
      <c r="C11" s="18">
        <f>-C6*Assumptions!B10</f>
        <v>-181230201.92208523</v>
      </c>
      <c r="D11" s="18">
        <f>-D6*Assumptions!B10</f>
        <v>-184088779.48802307</v>
      </c>
      <c r="E11" s="18">
        <f>-E6*Assumptions!B10</f>
        <v>-186992445.92774588</v>
      </c>
      <c r="F11" s="18">
        <f>-F6*Assumptions!B10</f>
        <v>-189941912.43641707</v>
      </c>
    </row>
    <row r="12" spans="1:6" x14ac:dyDescent="0.25">
      <c r="A12" t="s">
        <v>48</v>
      </c>
      <c r="B12" s="18">
        <f>-(B6-Assumptions!B29)*Assumptions!B11</f>
        <v>616766.935742502</v>
      </c>
      <c r="C12" s="18">
        <f>-(C6-B6)*Assumptions!B11</f>
        <v>626495.3149377317</v>
      </c>
      <c r="D12" s="18">
        <f>-(D6-C6)*Assumptions!B11</f>
        <v>636377.1416611568</v>
      </c>
      <c r="E12" s="18">
        <f>-(E6-D6)*Assumptions!B11</f>
        <v>646414.8362690913</v>
      </c>
      <c r="F12" s="18">
        <f>-(F6-E6)*Assumptions!B11</f>
        <v>656610.8572945655</v>
      </c>
    </row>
    <row r="13" spans="1:6" x14ac:dyDescent="0.25">
      <c r="A13" s="19" t="s">
        <v>49</v>
      </c>
      <c r="B13" s="20">
        <f>B9+B10+B11+B12</f>
        <v>228891968.9563184</v>
      </c>
      <c r="C13" s="20">
        <f>C9+C10+C11+C12</f>
        <v>232502324.4077966</v>
      </c>
      <c r="D13" s="20">
        <f>D9+D10+D11+D12</f>
        <v>236169626.66499028</v>
      </c>
      <c r="E13" s="20">
        <f>E9+E10+E11+E12</f>
        <v>239894773.9604212</v>
      </c>
      <c r="F13" s="20">
        <f>F9+F10+F11+F12</f>
        <v>243678678.69459918</v>
      </c>
    </row>
    <row r="14" spans="1:6" x14ac:dyDescent="0.25">
      <c r="A14" t="s">
        <v>50</v>
      </c>
      <c r="B14" s="21">
        <f>1/(1+Assumptions!$B$26)^(1-0.5*Assumptions!$B$32)</f>
        <v>0.9562486510826734</v>
      </c>
      <c r="C14" s="21">
        <f>1/(1+Assumptions!$B$26)^(2-0.5*Assumptions!$B$32)</f>
        <v>0.874404746863927</v>
      </c>
      <c r="D14" s="21">
        <f>1/(1+Assumptions!$B$26)^(3-0.5*Assumptions!$B$32)</f>
        <v>0.7995657410575167</v>
      </c>
      <c r="E14" s="21">
        <f>1/(1+Assumptions!$B$26)^(4-0.5*Assumptions!$B$32)</f>
        <v>0.731132094794475</v>
      </c>
      <c r="F14" s="21">
        <f>1/(1+Assumptions!$B$26)^(5-0.5*Assumptions!$B$32)</f>
        <v>0.6685555828486955</v>
      </c>
    </row>
    <row r="15" spans="1:6" x14ac:dyDescent="0.25">
      <c r="A15" s="19" t="s">
        <v>51</v>
      </c>
      <c r="B15" s="20">
        <f>B13*B14</f>
        <v>218877636.55813664</v>
      </c>
      <c r="C15" s="20">
        <f>C13*C14</f>
        <v>203301136.11907402</v>
      </c>
      <c r="D15" s="20">
        <f>D13*D14</f>
        <v>188833142.55967</v>
      </c>
      <c r="E15" s="20">
        <f>E13*E14</f>
        <v>175394768.61592984</v>
      </c>
      <c r="F15" s="20">
        <f>F13*F14</f>
        <v>162912741.06246775</v>
      </c>
    </row>
    <row r="17" spans="1:2" x14ac:dyDescent="0.25">
      <c r="A17" s="22" t="s">
        <v>52</v>
      </c>
      <c r="B17" s="23">
        <f>SUM(B15:F15)</f>
        <v>949319424.9152782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243678678.69459918</v>
      </c>
    </row>
    <row r="5" spans="1:2" x14ac:dyDescent="0.25">
      <c r="A5" t="s">
        <v>56</v>
      </c>
      <c r="B5" s="18">
        <f>IF(Assumptions!$B$33=0,B4,B4-Forecast!F11-Forecast!F10-Forecast!F12)</f>
        <v>269816943.8035387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0.26709525749372964</v>
      </c>
    </row>
    <row r="7" spans="1:2" x14ac:dyDescent="0.25">
      <c r="A7" t="s">
        <v>58</v>
      </c>
      <c r="B7" s="18">
        <f>-MAX(Forecast!F9,0)*B6</f>
        <v>-72066826.08137734</v>
      </c>
    </row>
    <row r="8" spans="1:2" x14ac:dyDescent="0.25">
      <c r="A8" t="s">
        <v>59</v>
      </c>
      <c r="B8" s="18">
        <f>IF(OR(Assumptions!$B$33=0,Assumptions!B12&lt;=0),B5,MAX(B5+B7,0))</f>
        <v>197750117.72216135</v>
      </c>
    </row>
    <row r="9" spans="1:2" x14ac:dyDescent="0.25">
      <c r="A9" t="s">
        <v>60</v>
      </c>
      <c r="B9" s="18">
        <f>B8*(1+Assumptions!B12)/(Assumptions!B26-Assumptions!B12)</f>
        <v>2954739869.336471</v>
      </c>
    </row>
    <row r="10" spans="1:2" x14ac:dyDescent="0.25">
      <c r="A10" t="s">
        <v>61</v>
      </c>
      <c r="B10" s="18">
        <f>B9/(1+Assumptions!B26)^(5-0.5*Assumptions!B32)</f>
        <v>1975407835.5105228</v>
      </c>
    </row>
    <row r="11" spans="1:2" x14ac:dyDescent="0.25">
      <c r="A11" t="s">
        <v>62</v>
      </c>
      <c r="B11" s="18">
        <f>Forecast!B17+B10</f>
        <v>2924727260.4258013</v>
      </c>
    </row>
    <row r="12" spans="1:2" x14ac:dyDescent="0.25">
      <c r="A12" t="s">
        <v>63</v>
      </c>
      <c r="B12" s="18">
        <f>-Assumptions!B30</f>
        <v>-1126800000</v>
      </c>
    </row>
    <row r="13" spans="1:2" x14ac:dyDescent="0.25">
      <c r="A13" t="s">
        <v>64</v>
      </c>
      <c r="B13" s="18">
        <f>B11+B12</f>
        <v>1797927260.4258013</v>
      </c>
    </row>
    <row r="14" spans="1:2" x14ac:dyDescent="0.25">
      <c r="A14" s="19" t="s">
        <v>65</v>
      </c>
      <c r="B14" s="24">
        <f>B13/Assumptions!B31</f>
        <v>5.036183996190545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534973303.7959405</v>
      </c>
    </row>
    <row r="18" spans="1:2" x14ac:dyDescent="0.25">
      <c r="A18" t="s">
        <v>60</v>
      </c>
      <c r="B18" s="18">
        <f>B17*Assumptions!B13</f>
        <v>6060590435.24081</v>
      </c>
    </row>
    <row r="19" spans="1:2" x14ac:dyDescent="0.25">
      <c r="A19" t="s">
        <v>61</v>
      </c>
      <c r="B19" s="18">
        <f>B18/(1+Assumptions!B26)^(5-0.5*Assumptions!B32)</f>
        <v>4051841570.839649</v>
      </c>
    </row>
    <row r="20" spans="1:2" x14ac:dyDescent="0.25">
      <c r="A20" t="s">
        <v>62</v>
      </c>
      <c r="B20" s="18">
        <f>Forecast!B17+B19</f>
        <v>5001160995.754928</v>
      </c>
    </row>
    <row r="21" spans="1:2" x14ac:dyDescent="0.25">
      <c r="A21" t="s">
        <v>63</v>
      </c>
      <c r="B21" s="18">
        <f>-Assumptions!B30</f>
        <v>-1126800000</v>
      </c>
    </row>
    <row r="22" spans="1:2" x14ac:dyDescent="0.25">
      <c r="A22" t="s">
        <v>64</v>
      </c>
      <c r="B22" s="18">
        <f>B20+B21</f>
        <v>3874360995.7549276</v>
      </c>
    </row>
    <row r="23" spans="1:2" x14ac:dyDescent="0.25">
      <c r="A23" s="19" t="s">
        <v>65</v>
      </c>
      <c r="B23" s="25">
        <f>B22/Assumptions!B31</f>
        <v>10.852494020066654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11.66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5.036183996190545</v>
      </c>
    </row>
    <row r="29" spans="1:2" x14ac:dyDescent="0.25">
      <c r="A29" s="19" t="s">
        <v>73</v>
      </c>
      <c r="B29" s="12">
        <f>B28/B26-1</f>
        <v>-0.56808027476925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0.0736</v>
      </c>
      <c r="B5" s="31">
        <v>7.193552708191001</v>
      </c>
      <c r="C5" s="31">
        <v>7.2308519168025605</v>
      </c>
      <c r="D5" s="31">
        <v>7.268151125414117</v>
      </c>
      <c r="E5" s="31">
        <v>7.305450334025676</v>
      </c>
      <c r="F5" s="31">
        <v>7.3427495426372325</v>
      </c>
    </row>
    <row r="6" spans="1:6" x14ac:dyDescent="0.25">
      <c r="A6" s="30">
        <v>0.0836</v>
      </c>
      <c r="B6" s="31">
        <v>5.954816123125256</v>
      </c>
      <c r="C6" s="31">
        <v>5.9863118715868655</v>
      </c>
      <c r="D6" s="31">
        <v>6.017807620048474</v>
      </c>
      <c r="E6" s="31">
        <v>6.0493033685100865</v>
      </c>
      <c r="F6" s="31">
        <v>6.080799116971696</v>
      </c>
    </row>
    <row r="7" spans="1:6" x14ac:dyDescent="0.25">
      <c r="A7" s="30">
        <v>0.0936</v>
      </c>
      <c r="B7" s="31">
        <v>4.98216259616973</v>
      </c>
      <c r="C7" s="31">
        <v>5.009154255793543</v>
      </c>
      <c r="D7" s="32">
        <v>5.036145915417353</v>
      </c>
      <c r="E7" s="31">
        <v>5.063137575041165</v>
      </c>
      <c r="F7" s="31">
        <v>5.090129234664975</v>
      </c>
    </row>
    <row r="8" spans="1:6" x14ac:dyDescent="0.25">
      <c r="A8" s="30">
        <v>0.1036</v>
      </c>
      <c r="B8" s="31">
        <v>4.198464799301258</v>
      </c>
      <c r="C8" s="31">
        <v>4.221872369034392</v>
      </c>
      <c r="D8" s="31">
        <v>4.245279938767525</v>
      </c>
      <c r="E8" s="31">
        <v>4.268687508500661</v>
      </c>
      <c r="F8" s="31">
        <v>4.292095078233795</v>
      </c>
    </row>
    <row r="9" spans="1:6" x14ac:dyDescent="0.25">
      <c r="A9" s="30">
        <v>0.1136</v>
      </c>
      <c r="B9" s="31">
        <v>3.5537574946360886</v>
      </c>
      <c r="C9" s="31">
        <v>3.574255370694948</v>
      </c>
      <c r="D9" s="31">
        <v>3.5947532467538066</v>
      </c>
      <c r="E9" s="31">
        <v>3.6152511228126647</v>
      </c>
      <c r="F9" s="31">
        <v>3.6357489988715233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1284200000</v>
      </c>
      <c r="C5" s="18">
        <v>1097000000</v>
      </c>
      <c r="D5" s="18">
        <v>1084100000</v>
      </c>
      <c r="E5" s="18">
        <v>1225300000</v>
      </c>
      <c r="F5" s="8" t="s">
        <v>84</v>
      </c>
    </row>
    <row r="6" spans="1:6" x14ac:dyDescent="0.25">
      <c r="A6" t="s">
        <v>44</v>
      </c>
      <c r="B6" s="18">
        <v>305900000</v>
      </c>
      <c r="C6" s="18">
        <v>261000000</v>
      </c>
      <c r="D6" s="18">
        <v>294700000</v>
      </c>
      <c r="E6" s="18">
        <v>395800000</v>
      </c>
      <c r="F6" s="8" t="s">
        <v>85</v>
      </c>
    </row>
    <row r="7" spans="1:6" x14ac:dyDescent="0.25">
      <c r="A7" t="s">
        <v>86</v>
      </c>
      <c r="B7" s="18">
        <v>162000000</v>
      </c>
      <c r="C7" s="18">
        <v>151100000</v>
      </c>
      <c r="D7" s="18">
        <v>128600000</v>
      </c>
      <c r="E7" s="18">
        <v>107100000</v>
      </c>
      <c r="F7" s="8" t="s">
        <v>87</v>
      </c>
    </row>
    <row r="8" spans="1:6" x14ac:dyDescent="0.25">
      <c r="A8" t="s">
        <v>88</v>
      </c>
      <c r="B8" s="18">
        <v>151700000</v>
      </c>
      <c r="C8" s="18">
        <v>130000000</v>
      </c>
      <c r="D8" s="18">
        <v>169000000</v>
      </c>
      <c r="E8" s="18">
        <v>189400000</v>
      </c>
      <c r="F8" s="8" t="s">
        <v>89</v>
      </c>
    </row>
    <row r="9" spans="1:6" x14ac:dyDescent="0.25">
      <c r="A9" t="s">
        <v>90</v>
      </c>
      <c r="B9" s="18">
        <v>-5700000</v>
      </c>
      <c r="C9" s="18">
        <v>4700000</v>
      </c>
      <c r="D9" s="18">
        <v>9100000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1263400000</v>
      </c>
      <c r="C10" s="18">
        <v>1257600000</v>
      </c>
      <c r="D10" s="18">
        <v>1409000000</v>
      </c>
      <c r="E10" s="18">
        <v>1503200000</v>
      </c>
      <c r="F10" s="8" t="s">
        <v>93</v>
      </c>
    </row>
    <row r="11" spans="1:6" x14ac:dyDescent="0.25">
      <c r="A11" t="s">
        <v>94</v>
      </c>
      <c r="B11" s="18">
        <v>136600000</v>
      </c>
      <c r="C11" s="18">
        <v>150500000</v>
      </c>
      <c r="D11" s="18">
        <v>199600000</v>
      </c>
      <c r="E11" s="18">
        <v>251600000</v>
      </c>
      <c r="F11" s="8" t="s">
        <v>95</v>
      </c>
    </row>
    <row r="12" spans="1:6" x14ac:dyDescent="0.25">
      <c r="A12" t="s">
        <v>32</v>
      </c>
      <c r="B12" s="34">
        <v>357001901</v>
      </c>
      <c r="C12" s="34">
        <v>358479532</v>
      </c>
      <c r="D12" s="34">
        <v>356271010</v>
      </c>
      <c r="E12" s="34">
        <v>356779366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2026-09-19T00:06:40Z</dcterms:modified>
</cp:coreProperties>
</file>