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<sst xmlns="http://schemas.openxmlformats.org/spreadsheetml/2006/main" count="113" uniqueCount="101">
  <si>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Sandfire Resources Limited (SFR.AX)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</si>
  <si>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</si>
  <si>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</si>
  <si>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</si>
  <si>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</si>
  <si>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</si>
  <si>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</si>
  <si>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</si>
  <si>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</si>
  <si>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</si>
  <si>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</si>
  <si>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</si>
  <si>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</si>
  <si>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</si>
  <si>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</si>
  <si>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</si>
  <si>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</si>
  <si>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</si>
  <si>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</si>
  <si>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</si>
  <si>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</si>
  <si>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</si>
  <si>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Implied cost of debt of 16.1%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</si>
  <si>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</si>
  <si>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</si>
  <si>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</si>
  <si>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</si>
  <si>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</si>
  <si>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</si>
  <si>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</si>
  <si>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</si>
  <si>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</si>
  <si>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</si>
  <si>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</si>
  <si>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</si>
  <si>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</si>
  <si>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</si>
  <si>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</si>
  <si>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</si>
  <si>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</si>
  <si>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</si>
  <si>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</si>
  <si>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</si>
  <si>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</si>
  <si>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</si>
  <si>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</si>
  <si>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</si>
  <si>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</si>
  <si>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</si>
  <si>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</si>
  <si>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</si>
  <si>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</si>
  <si>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</si>
  <si>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</si>
  <si>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</si>
  <si>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</si>
  <si>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</si>
  <si>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</si>
  <si>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</si>
  <si>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</si>
  <si>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</si>
  <si>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</si>
  <si>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</si>
  <si>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</si>
  <si>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</si>
  <si>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</si>
  <si>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</si>
  <si>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</si>
  <si>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</si>
  <si>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</si>
  <si>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</si>
  <si>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</si>
  <si>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</si>
  <si>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</si>
  <si>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</si>
  <si>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</si>
  <si>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</si>
  <si>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</si>
  <si>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</si>
  <si>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</si>
  <si>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</si>
  <si>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</si>
  <si>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</si>
  <si>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</si>
  <si>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</si>
  <si>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</si>
  <si>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</si>
  <si>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</si>
  <si>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</si>
  <si>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</si>
  <si>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</si>
  <si>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</si>
  <si>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</si>
  <si>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</si>
  <si>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</si>
  <si>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</si>
  <si>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</si>
  <si>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</si>
  <si>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</si>
  <si>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Reports in USD, trades in AUD. Modelled in USD, converted at the end.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</si>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</sst>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0.281133150635404</v>
      </c>
    </row>
    <row r="7" spans="1:2" x14ac:dyDescent="0.25">
      <c r="A7" t="s">
        <v>5</v>
      </c>
      <c r="B7" s="6">
        <v>0.14006491306921212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0.2834697331300411</v>
      </c>
    </row>
    <row r="10" spans="1:2" x14ac:dyDescent="0.25">
      <c r="A10" t="s">
        <v>8</v>
      </c>
      <c r="B10" s="6">
        <v>0.24049270327721226</v>
      </c>
    </row>
    <row r="11" spans="1:2" x14ac:dyDescent="0.25">
      <c r="A11" t="s">
        <v>9</v>
      </c>
      <c r="B11" s="6">
        <v>0.028029739453500565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11.307480484717603</v>
      </c>
    </row>
    <row r="14" spans="1:3" x14ac:dyDescent="0.25">
      <c r="A14" t="s">
        <v>12</v>
      </c>
      <c r="B14" s="6">
        <v>0.13793681193230364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1.4127200000000002</v>
      </c>
      <c r="C19" s="8" t="s">
        <v>19</v>
      </c>
    </row>
    <row r="20" spans="1:2" x14ac:dyDescent="0.25">
      <c r="A20" t="s">
        <v>20</v>
      </c>
      <c r="B20" s="10">
        <f>B17+B19*B18</f>
        <v>0.1382432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10285640704</v>
      </c>
    </row>
    <row r="23" spans="1:2" x14ac:dyDescent="0.25">
      <c r="A23" t="s">
        <v>24</v>
      </c>
      <c r="B23" s="11">
        <v>36432000</v>
      </c>
    </row>
    <row r="24" spans="1:2" x14ac:dyDescent="0.25">
      <c r="A24" t="s">
        <v>25</v>
      </c>
      <c r="B24" s="10">
        <f>B22/(B22+B23)</f>
        <v>0.9964704763234343</v>
      </c>
    </row>
    <row r="25" spans="1:2" x14ac:dyDescent="0.25">
      <c r="A25" t="s">
        <v>26</v>
      </c>
      <c r="B25" s="10">
        <f>1-B24</f>
        <v>0.0035295236765656712</v>
      </c>
    </row>
    <row r="26" spans="1:2" x14ac:dyDescent="0.25">
      <c r="A26" t="s">
        <v>27</v>
      </c>
      <c r="B26" s="12">
        <f>B24*B20+B25*B21*(1-B8)</f>
        <v>0.13793681193230364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1645106000</v>
      </c>
      <c r="C29" s="8" t="s">
        <v>30</v>
      </c>
    </row>
    <row r="30" spans="1:2" x14ac:dyDescent="0.25">
      <c r="A30" t="s">
        <v>31</v>
      </c>
      <c r="B30" s="11">
        <v>-316197000</v>
      </c>
    </row>
    <row r="31" spans="1:2" x14ac:dyDescent="0.25">
      <c r="A31" t="s">
        <v>32</v>
      </c>
      <c r="B31" s="13">
        <v>465715969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0.281133150635404</v>
      </c>
      <c r="C5" s="10">
        <f>Assumptions!B6</f>
        <v>0.281133150635404</v>
      </c>
      <c r="D5" s="10">
        <f>Assumptions!B6</f>
        <v>0.281133150635404</v>
      </c>
      <c r="E5" s="10">
        <f>Assumptions!B6</f>
        <v>0.281133150635404</v>
      </c>
      <c r="F5" s="10">
        <f>Assumptions!B6</f>
        <v>0.281133150635404</v>
      </c>
    </row>
    <row r="6" spans="1:6" x14ac:dyDescent="0.25">
      <c r="A6" t="s">
        <v>43</v>
      </c>
      <c r="B6" s="18">
        <f>Assumptions!B29*(1+B5)</f>
        <v>2107599832.9092069</v>
      </c>
      <c r="C6" s="18">
        <f>B6*(1+C5)</f>
        <v>2700116014.213623</v>
      </c>
      <c r="D6" s="18">
        <f>C6*(1+D5)</f>
        <v>3459208136.3706083</v>
      </c>
      <c r="E6" s="18">
        <f>D6*(1+E5)</f>
        <v>4431706218.452102</v>
      </c>
      <c r="F6" s="18">
        <f>E6*(1+F5)</f>
        <v>5677605750.336053</v>
      </c>
    </row>
    <row r="7" spans="1:6" x14ac:dyDescent="0.25">
      <c r="A7" t="s">
        <v>5</v>
      </c>
      <c r="B7" s="10">
        <f>Assumptions!B7</f>
        <v>0.14006491306921212</v>
      </c>
      <c r="C7" s="10">
        <f>Assumptions!B7</f>
        <v>0.14006491306921212</v>
      </c>
      <c r="D7" s="10">
        <f>Assumptions!B7</f>
        <v>0.14006491306921212</v>
      </c>
      <c r="E7" s="10">
        <f>Assumptions!B7</f>
        <v>0.14006491306921212</v>
      </c>
      <c r="F7" s="10">
        <f>Assumptions!B7</f>
        <v>0.14006491306921212</v>
      </c>
    </row>
    <row r="8" spans="1:6" x14ac:dyDescent="0.25">
      <c r="A8" t="s">
        <v>44</v>
      </c>
      <c r="B8" s="18">
        <f>B6*B7</f>
        <v>295200787.38111407</v>
      </c>
      <c r="C8" s="18">
        <f>C6*C7</f>
        <v>378191514.8076186</v>
      </c>
      <c r="D8" s="18">
        <f>D6*D7</f>
        <v>484513686.90906054</v>
      </c>
      <c r="E8" s="18">
        <f>E6*E7</f>
        <v>620726546.2357804</v>
      </c>
      <c r="F8" s="18">
        <f>F6*F7</f>
        <v>795233355.8620781</v>
      </c>
    </row>
    <row r="9" spans="1:6" x14ac:dyDescent="0.25">
      <c r="A9" t="s">
        <v>45</v>
      </c>
      <c r="B9" s="18">
        <f>B8*(1-Assumptions!B8)</f>
        <v>206640551.16677985</v>
      </c>
      <c r="C9" s="18">
        <f>C8*(1-Assumptions!B8)</f>
        <v>264734060.36533302</v>
      </c>
      <c r="D9" s="18">
        <f>D8*(1-Assumptions!B8)</f>
        <v>339159580.83634233</v>
      </c>
      <c r="E9" s="18">
        <f>E8*(1-Assumptions!B8)</f>
        <v>434508582.3650462</v>
      </c>
      <c r="F9" s="18">
        <f>F8*(1-Assumptions!B8)</f>
        <v>556663349.1034546</v>
      </c>
    </row>
    <row r="10" spans="1:6" x14ac:dyDescent="0.25">
      <c r="A10" t="s">
        <v>46</v>
      </c>
      <c r="B10" s="18">
        <f>B6*Assumptions!B9</f>
        <v>597440762.179692</v>
      </c>
      <c r="C10" s="18">
        <f>C6*Assumptions!B9</f>
        <v>765401165.969286</v>
      </c>
      <c r="D10" s="18">
        <f>D6*Assumptions!B9</f>
        <v>980580807.2582431</v>
      </c>
      <c r="E10" s="18">
        <f>E6*Assumptions!B9</f>
        <v>1256254579.0553608</v>
      </c>
      <c r="F10" s="18">
        <f>F6*Assumptions!B9</f>
        <v>1609429386.8653476</v>
      </c>
    </row>
    <row r="11" spans="1:6" x14ac:dyDescent="0.25">
      <c r="A11" t="s">
        <v>47</v>
      </c>
      <c r="B11" s="18">
        <f>-B6*Assumptions!B10</f>
        <v>-506862381.242936</v>
      </c>
      <c r="C11" s="18">
        <f>-C6*Assumptions!B10</f>
        <v>-649358199.4203259</v>
      </c>
      <c r="D11" s="18">
        <f>-D6*Assumptions!B10</f>
        <v>-831914315.9142951</v>
      </c>
      <c r="E11" s="18">
        <f>-E6*Assumptions!B10</f>
        <v>-1065793008.6059777</v>
      </c>
      <c r="F11" s="18">
        <f>-F6*Assumptions!B10</f>
        <v>-1365422755.0405624</v>
      </c>
    </row>
    <row r="12" spans="1:6" x14ac:dyDescent="0.25">
      <c r="A12" t="s">
        <v>48</v>
      </c>
      <c r="B12" s="18">
        <f>-(B6-Assumptions!B29)*Assumptions!B11</f>
        <v>-12963581.635295894</v>
      </c>
      <c r="C12" s="18">
        <f>-(C6-B6)*Assumptions!B11</f>
        <v>-16608074.183945889</v>
      </c>
      <c r="D12" s="18">
        <f>-(D6-C6)*Assumptions!B11</f>
        <v>-21277154.40526512</v>
      </c>
      <c r="E12" s="18">
        <f>-(E6-D6)*Assumptions!B11</f>
        <v>-27258867.859773267</v>
      </c>
      <c r="F12" s="18">
        <f>-(F6-E6)*Assumptions!B11</f>
        <v>-34922239.263945475</v>
      </c>
    </row>
    <row r="13" spans="1:6" x14ac:dyDescent="0.25">
      <c r="A13" s="19" t="s">
        <v>49</v>
      </c>
      <c r="B13" s="20">
        <f>B9+B10+B11+B12</f>
        <v>284255350.46824</v>
      </c>
      <c r="C13" s="20">
        <f>C9+C10+C11+C12</f>
        <v>364168952.7303473</v>
      </c>
      <c r="D13" s="20">
        <f>D9+D10+D11+D12</f>
        <v>466548917.77502525</v>
      </c>
      <c r="E13" s="20">
        <f>E9+E10+E11+E12</f>
        <v>597711284.9546561</v>
      </c>
      <c r="F13" s="20">
        <f>F9+F10+F11+F12</f>
        <v>765747741.6642946</v>
      </c>
    </row>
    <row r="14" spans="1:6" x14ac:dyDescent="0.25">
      <c r="A14" t="s">
        <v>50</v>
      </c>
      <c r="B14" s="21">
        <f>1/(1+Assumptions!$B$26)^(1-0.5*Assumptions!$B$32)</f>
        <v>0.9374344868151274</v>
      </c>
      <c r="C14" s="21">
        <f>1/(1+Assumptions!$B$26)^(2-0.5*Assumptions!$B$32)</f>
        <v>0.8238018816029793</v>
      </c>
      <c r="D14" s="21">
        <f>1/(1+Assumptions!$B$26)^(3-0.5*Assumptions!$B$32)</f>
        <v>0.7239434325040427</v>
      </c>
      <c r="E14" s="21">
        <f>1/(1+Assumptions!$B$26)^(4-0.5*Assumptions!$B$32)</f>
        <v>0.6361894833815346</v>
      </c>
      <c r="F14" s="21">
        <f>1/(1+Assumptions!$B$26)^(5-0.5*Assumptions!$B$32)</f>
        <v>0.5590727681102401</v>
      </c>
    </row>
    <row r="15" spans="1:6" x14ac:dyDescent="0.25">
      <c r="A15" s="19" t="s">
        <v>51</v>
      </c>
      <c r="B15" s="20">
        <f>B13*B14</f>
        <v>266470768.59064877</v>
      </c>
      <c r="C15" s="20">
        <f>C13*C14</f>
        <v>300003068.4806465</v>
      </c>
      <c r="D15" s="20">
        <f>D13*D14</f>
        <v>337755024.96509814</v>
      </c>
      <c r="E15" s="20">
        <f>E13*E14</f>
        <v>380257633.58661586</v>
      </c>
      <c r="F15" s="20">
        <f>F13*F14</f>
        <v>428108709.6064222</v>
      </c>
    </row>
    <row r="17" spans="1:2" x14ac:dyDescent="0.25">
      <c r="A17" s="22" t="s">
        <v>52</v>
      </c>
      <c r="B17" s="23">
        <f>SUM(B15:F15)</f>
        <v>1712595205.2294314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765747741.6642946</v>
      </c>
    </row>
    <row r="5" spans="1:2" x14ac:dyDescent="0.25">
      <c r="A5" t="s">
        <v>56</v>
      </c>
      <c r="B5" s="18">
        <f>IF(Assumptions!$B$33=0,B4,B4-Forecast!F11-Forecast!F10-Forecast!F12)</f>
        <v>556663349.1034546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0.18124240838819336</v>
      </c>
    </row>
    <row r="7" spans="1:2" x14ac:dyDescent="0.25">
      <c r="A7" t="s">
        <v>58</v>
      </c>
      <c r="B7" s="18">
        <f>-MAX(Forecast!F9,0)*B6</f>
        <v>-100891006.05294776</v>
      </c>
    </row>
    <row r="8" spans="1:2" x14ac:dyDescent="0.25">
      <c r="A8" t="s">
        <v>59</v>
      </c>
      <c r="B8" s="18">
        <f>IF(OR(Assumptions!$B$33=0,Assumptions!B12&lt;=0),B5,MAX(B5+B7,0))</f>
        <v>455772343.05050683</v>
      </c>
    </row>
    <row r="9" spans="1:2" x14ac:dyDescent="0.25">
      <c r="A9" t="s">
        <v>60</v>
      </c>
      <c r="B9" s="18">
        <f>B8*(1+Assumptions!B12)/(Assumptions!B26-Assumptions!B12)</f>
        <v>4136531248.1708584</v>
      </c>
    </row>
    <row r="10" spans="1:2" x14ac:dyDescent="0.25">
      <c r="A10" t="s">
        <v>61</v>
      </c>
      <c r="B10" s="18">
        <f>B9/(1+Assumptions!B26)^(5-0.5*Assumptions!B32)</f>
        <v>2312621975.289388</v>
      </c>
    </row>
    <row r="11" spans="1:2" x14ac:dyDescent="0.25">
      <c r="A11" t="s">
        <v>62</v>
      </c>
      <c r="B11" s="18">
        <f>Forecast!B17+B10</f>
        <v>4025217180.51882</v>
      </c>
    </row>
    <row r="12" spans="1:2" x14ac:dyDescent="0.25">
      <c r="A12" t="s">
        <v>63</v>
      </c>
      <c r="B12" s="18">
        <f>-Assumptions!B30</f>
        <v>316197000</v>
      </c>
    </row>
    <row r="13" spans="1:2" x14ac:dyDescent="0.25">
      <c r="A13" t="s">
        <v>64</v>
      </c>
      <c r="B13" s="18">
        <f>B11+B12</f>
        <v>4341414180.51882</v>
      </c>
    </row>
    <row r="14" spans="1:2" x14ac:dyDescent="0.25">
      <c r="A14" s="19" t="s">
        <v>65</v>
      </c>
      <c r="B14" s="24">
        <f>B13/Assumptions!B31</f>
        <v>9.32202129517019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2404662742.7274256</v>
      </c>
    </row>
    <row r="18" spans="1:2" x14ac:dyDescent="0.25">
      <c r="A18" t="s">
        <v>60</v>
      </c>
      <c r="B18" s="18">
        <f>B17*Assumptions!B13</f>
        <v>27190677035.71787</v>
      </c>
    </row>
    <row r="19" spans="1:2" x14ac:dyDescent="0.25">
      <c r="A19" t="s">
        <v>61</v>
      </c>
      <c r="B19" s="18">
        <f>B18/(1+Assumptions!B26)^(5-0.5*Assumptions!B32)</f>
        <v>15201567077.150326</v>
      </c>
    </row>
    <row r="20" spans="1:2" x14ac:dyDescent="0.25">
      <c r="A20" t="s">
        <v>62</v>
      </c>
      <c r="B20" s="18">
        <f>Forecast!B17+B19</f>
        <v>16914162282.379757</v>
      </c>
    </row>
    <row r="21" spans="1:2" x14ac:dyDescent="0.25">
      <c r="A21" t="s">
        <v>63</v>
      </c>
      <c r="B21" s="18">
        <f>-Assumptions!B30</f>
        <v>316197000</v>
      </c>
    </row>
    <row r="22" spans="1:2" x14ac:dyDescent="0.25">
      <c r="A22" t="s">
        <v>64</v>
      </c>
      <c r="B22" s="18">
        <f>B20+B21</f>
        <v>17230359282.379757</v>
      </c>
    </row>
    <row r="23" spans="1:2" x14ac:dyDescent="0.25">
      <c r="A23" s="19" t="s">
        <v>65</v>
      </c>
      <c r="B23" s="25">
        <f>B22/Assumptions!B31</f>
        <v>36.99757025591656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21.98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13.08998230267798</v>
      </c>
    </row>
    <row r="29" spans="1:2" x14ac:dyDescent="0.25">
      <c r="A29" s="19" t="s">
        <v>73</v>
      </c>
      <c r="B29" s="12">
        <f>B28/B26-1</f>
        <v>-0.40445940388180257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0.117937</v>
      </c>
      <c r="B5" s="31">
        <v>10.769125078388068</v>
      </c>
      <c r="C5" s="31">
        <v>10.799809182029954</v>
      </c>
      <c r="D5" s="31">
        <v>10.830493285671839</v>
      </c>
      <c r="E5" s="31">
        <v>10.861177389313726</v>
      </c>
      <c r="F5" s="31">
        <v>10.891861492955611</v>
      </c>
    </row>
    <row r="6" spans="1:6" x14ac:dyDescent="0.25">
      <c r="A6" s="30">
        <v>0.127937</v>
      </c>
      <c r="B6" s="31">
        <v>9.962896945202234</v>
      </c>
      <c r="C6" s="31">
        <v>9.990071569331983</v>
      </c>
      <c r="D6" s="31">
        <v>10.017246193461734</v>
      </c>
      <c r="E6" s="31">
        <v>10.044420817591485</v>
      </c>
      <c r="F6" s="31">
        <v>10.071595441721238</v>
      </c>
    </row>
    <row r="7" spans="1:6" x14ac:dyDescent="0.25">
      <c r="A7" s="30">
        <v>0.137937</v>
      </c>
      <c r="B7" s="31">
        <v>9.273563078342214</v>
      </c>
      <c r="C7" s="31">
        <v>9.297786123688052</v>
      </c>
      <c r="D7" s="32">
        <v>9.322009169033889</v>
      </c>
      <c r="E7" s="31">
        <v>9.346232214379729</v>
      </c>
      <c r="F7" s="31">
        <v>9.370455259725565</v>
      </c>
    </row>
    <row r="8" spans="1:6" x14ac:dyDescent="0.25">
      <c r="A8" s="30">
        <v>0.147937</v>
      </c>
      <c r="B8" s="31">
        <v>8.67745947458919</v>
      </c>
      <c r="C8" s="31">
        <v>8.699173155502478</v>
      </c>
      <c r="D8" s="31">
        <v>8.720886836415765</v>
      </c>
      <c r="E8" s="31">
        <v>8.742600517329056</v>
      </c>
      <c r="F8" s="31">
        <v>8.764314198242342</v>
      </c>
    </row>
    <row r="9" spans="1:6" x14ac:dyDescent="0.25">
      <c r="A9" s="30">
        <v>0.157937</v>
      </c>
      <c r="B9" s="31">
        <v>8.156911390768773</v>
      </c>
      <c r="C9" s="31">
        <v>8.176471686986167</v>
      </c>
      <c r="D9" s="31">
        <v>8.19603198320356</v>
      </c>
      <c r="E9" s="31">
        <v>8.215592279420957</v>
      </c>
      <c r="F9" s="31">
        <v>8.235152575638352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1645106000</v>
      </c>
      <c r="C5" s="18">
        <v>1185380000</v>
      </c>
      <c r="D5" s="18">
        <v>921568000</v>
      </c>
      <c r="E5" s="18">
        <v>782368000</v>
      </c>
      <c r="F5" s="8" t="s">
        <v>84</v>
      </c>
    </row>
    <row r="6" spans="1:6" x14ac:dyDescent="0.25">
      <c r="A6" t="s">
        <v>44</v>
      </c>
      <c r="B6" s="18">
        <v>563177000</v>
      </c>
      <c r="C6" s="18">
        <v>236838000</v>
      </c>
      <c r="D6" s="18">
        <v>48065000</v>
      </c>
      <c r="E6" s="18">
        <v>-26624000</v>
      </c>
      <c r="F6" s="8" t="s">
        <v>85</v>
      </c>
    </row>
    <row r="7" spans="1:6" x14ac:dyDescent="0.25">
      <c r="A7" t="s">
        <v>86</v>
      </c>
      <c r="B7" s="18">
        <v>318491000</v>
      </c>
      <c r="C7" s="18">
        <v>315085000</v>
      </c>
      <c r="D7" s="18">
        <v>303560000</v>
      </c>
      <c r="E7" s="18">
        <v>269976000</v>
      </c>
      <c r="F7" s="8" t="s">
        <v>87</v>
      </c>
    </row>
    <row r="8" spans="1:6" x14ac:dyDescent="0.25">
      <c r="A8" t="s">
        <v>88</v>
      </c>
      <c r="B8" s="18">
        <v>239908000</v>
      </c>
      <c r="C8" s="18">
        <v>186546000</v>
      </c>
      <c r="D8" s="18">
        <v>221942000</v>
      </c>
      <c r="E8" s="18">
        <v>326980000</v>
      </c>
      <c r="F8" s="8" t="s">
        <v>89</v>
      </c>
    </row>
    <row r="9" spans="1:6" x14ac:dyDescent="0.25">
      <c r="A9" t="s">
        <v>90</v>
      </c>
      <c r="B9" s="18">
        <v>12886000</v>
      </c>
      <c r="C9" s="18">
        <v>2213000</v>
      </c>
      <c r="D9" s="18">
        <v>34484000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36432000</v>
      </c>
      <c r="C10" s="18">
        <v>253242000</v>
      </c>
      <c r="D10" s="18">
        <v>582580000</v>
      </c>
      <c r="E10" s="18">
        <v>596592000</v>
      </c>
      <c r="F10" s="8" t="s">
        <v>93</v>
      </c>
    </row>
    <row r="11" spans="1:6" x14ac:dyDescent="0.25">
      <c r="A11" t="s">
        <v>94</v>
      </c>
      <c r="B11" s="18">
        <v>352629000</v>
      </c>
      <c r="C11" s="18">
        <v>110668000</v>
      </c>
      <c r="D11" s="18">
        <v>183337000</v>
      </c>
      <c r="E11" s="18">
        <v>141939000</v>
      </c>
      <c r="F11" s="8" t="s">
        <v>95</v>
      </c>
    </row>
    <row r="12" spans="1:6" x14ac:dyDescent="0.25">
      <c r="A12" t="s">
        <v>32</v>
      </c>
      <c r="B12" s="34">
        <v>465715969</v>
      </c>
      <c r="C12" s="34">
        <v>463935323</v>
      </c>
      <c r="D12" s="34">
        <v>457029577</v>
      </c>
      <c r="E12" s="34">
        <v>436844445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2026-09-19T00:06:51Z</dcterms:modified>
</cp:coreProperties>
</file>