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<sst xmlns="http://schemas.openxmlformats.org/spreadsheetml/2006/main" count="112" uniqueCount="100">
  <si>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The Sage Group plc (SGE.L)</t>
  </si>
  <si>
    <t>DCF Studio - Base case</t>
  </si>
  <si>
    <t>Blue figures on a cream fill are inputs. Every other figure is a formula - change an input and the model reprices. Currency figures are GBP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</si>
  <si>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</si>
  <si>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</si>
  <si>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</si>
  <si>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</si>
  <si>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</si>
  <si>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</si>
  <si>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</si>
  <si>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</si>
  <si>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</si>
  <si>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</si>
  <si>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</si>
  <si>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</si>
  <si>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</si>
  <si>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</si>
  <si>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</si>
  <si>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</si>
  <si>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</si>
  <si>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</si>
  <si>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</si>
  <si>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</si>
  <si>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(GBP m)</t>
  </si>
  <si>
    <t>Total debt (GBP m)</t>
  </si>
  <si>
    <t>Equity weight</t>
  </si>
  <si>
    <t>Debt weight</t>
  </si>
  <si>
    <t>WACC</t>
  </si>
  <si>
    <t>Base year</t>
  </si>
  <si>
    <t>Revenue, last reported year (GBP m)</t>
  </si>
  <si>
    <t>Fiscal year ended 2025-09-30</t>
  </si>
  <si>
    <t>Net debt (GBP m)</t>
  </si>
  <si>
    <t>Diluted shares</t>
  </si>
  <si>
    <t>Mid-year discounting (1 = yes, 0 = no)</t>
  </si>
  <si>
    <t>Terminal year on a steady-state footing (1 = yes, 0 = no)</t>
  </si>
  <si>
    <t>Forecast cashflows (GBP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</si>
  <si>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</si>
  <si>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</si>
  <si>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</si>
  <si>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</si>
  <si>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</si>
  <si>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</si>
  <si>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</si>
  <si>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</si>
  <si>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</si>
  <si>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</si>
  <si>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</si>
  <si>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</si>
  <si>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</si>
  <si>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</si>
  <si>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</si>
  <si>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</si>
  <si>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</si>
  <si>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(GBP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</si>
  <si>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</si>
  <si>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</si>
  <si>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</si>
  <si>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</si>
  <si>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</si>
  <si>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</si>
  <si>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</si>
  <si>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</si>
  <si>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</si>
  <si>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</si>
  <si>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</si>
  <si>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</si>
  <si>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</si>
  <si>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</si>
  <si>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</si>
  <si>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</si>
  <si>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GBP to GBp</t>
  </si>
  <si>
    <t>then x100, because GBp is a sub-unit of GBP</t>
  </si>
  <si>
    <t>Value per share (GBp)</t>
  </si>
  <si>
    <t>Implied upside</t>
  </si>
  <si>
    <t>Value per share (GBP)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</si>
  <si>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</si>
  <si>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(GBP m, except shares)</t>
  </si>
  <si>
    <t>What the model was built from. "derived" means the figure was not reported and was computed - the note says how.</t>
  </si>
  <si>
    <t>Fiscal year end</t>
  </si>
  <si>
    <t>2025-09-30</t>
  </si>
  <si>
    <t>2024-09-30</t>
  </si>
  <si>
    <t>2023-09-30</t>
  </si>
  <si>
    <t>2022-09-30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</si>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</sst>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0.08878512531742344</v>
      </c>
    </row>
    <row r="7" spans="1:2" x14ac:dyDescent="0.25">
      <c r="A7" t="s">
        <v>5</v>
      </c>
      <c r="B7" s="6">
        <v>0.17999786810268992</v>
      </c>
    </row>
    <row r="8" spans="1:2" x14ac:dyDescent="0.25">
      <c r="A8" t="s">
        <v>6</v>
      </c>
      <c r="B8" s="6">
        <v>0.2396936716719047</v>
      </c>
    </row>
    <row r="9" spans="1:2" x14ac:dyDescent="0.25">
      <c r="A9" t="s">
        <v>7</v>
      </c>
      <c r="B9" s="6">
        <v>0.046581048744510925</v>
      </c>
    </row>
    <row r="10" spans="1:2" x14ac:dyDescent="0.25">
      <c r="A10" t="s">
        <v>8</v>
      </c>
      <c r="B10" s="6">
        <v>0.019031284924956985</v>
      </c>
    </row>
    <row r="11" spans="1:2" x14ac:dyDescent="0.25">
      <c r="A11" t="s">
        <v>9</v>
      </c>
      <c r="B11" s="6">
        <v>-0.0759493670886076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16.517258425806453</v>
      </c>
    </row>
    <row r="14" spans="1:3" x14ac:dyDescent="0.25">
      <c r="A14" t="s">
        <v>12</v>
      </c>
      <c r="B14" s="6">
        <v>0.12655741771417187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0.54909</v>
      </c>
      <c r="C19" s="8" t="s">
        <v>19</v>
      </c>
    </row>
    <row r="20" spans="1:2" x14ac:dyDescent="0.25">
      <c r="A20" t="s">
        <v>20</v>
      </c>
      <c r="B20" s="10">
        <f>B17+B19*B18</f>
        <v>0.07519995</v>
      </c>
    </row>
    <row r="21" spans="1:3" x14ac:dyDescent="0.25">
      <c r="A21" t="s">
        <v>21</v>
      </c>
      <c r="B21" s="6">
        <v>0.045</v>
      </c>
      <c r="C21" s="8" t="s">
        <v>22</v>
      </c>
    </row>
    <row r="22" spans="1:2" x14ac:dyDescent="0.25">
      <c r="A22" t="s">
        <v>23</v>
      </c>
      <c r="B22" s="11">
        <v>9051700224</v>
      </c>
    </row>
    <row r="23" spans="1:2" x14ac:dyDescent="0.25">
      <c r="A23" t="s">
        <v>24</v>
      </c>
      <c r="B23" s="11">
        <v>1579000000</v>
      </c>
    </row>
    <row r="24" spans="1:2" x14ac:dyDescent="0.25">
      <c r="A24" t="s">
        <v>25</v>
      </c>
      <c r="B24" s="10">
        <f>B22/(B22+B23)</f>
        <v>0.8514679215170389</v>
      </c>
    </row>
    <row r="25" spans="1:2" x14ac:dyDescent="0.25">
      <c r="A25" t="s">
        <v>26</v>
      </c>
      <c r="B25" s="10">
        <f>1-B24</f>
        <v>0.14853207848296113</v>
      </c>
    </row>
    <row r="26" spans="1:2" x14ac:dyDescent="0.25">
      <c r="A26" t="s">
        <v>27</v>
      </c>
      <c r="B26" s="12">
        <f>B24*B20+B25*B21*(1-B8)</f>
        <v>0.06911218969004967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2513000000</v>
      </c>
      <c r="C29" s="8" t="s">
        <v>30</v>
      </c>
    </row>
    <row r="30" spans="1:2" x14ac:dyDescent="0.25">
      <c r="A30" t="s">
        <v>31</v>
      </c>
      <c r="B30" s="11">
        <v>1189000000</v>
      </c>
    </row>
    <row r="31" spans="1:2" x14ac:dyDescent="0.25">
      <c r="A31" t="s">
        <v>32</v>
      </c>
      <c r="B31" s="13">
        <v>993000000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0.08878512531742344</v>
      </c>
      <c r="C5" s="10">
        <f>Assumptions!B6</f>
        <v>0.08878512531742344</v>
      </c>
      <c r="D5" s="10">
        <f>Assumptions!B6</f>
        <v>0.08878512531742344</v>
      </c>
      <c r="E5" s="10">
        <f>Assumptions!B6</f>
        <v>0.08878512531742344</v>
      </c>
      <c r="F5" s="10">
        <f>Assumptions!B6</f>
        <v>0.08878512531742344</v>
      </c>
    </row>
    <row r="6" spans="1:6" x14ac:dyDescent="0.25">
      <c r="A6" t="s">
        <v>43</v>
      </c>
      <c r="B6" s="18">
        <f>Assumptions!B29*(1+B5)</f>
        <v>2736117019.922685</v>
      </c>
      <c r="C6" s="18">
        <f>B6*(1+C5)</f>
        <v>2979043512.419656</v>
      </c>
      <c r="D6" s="18">
        <f>C6*(1+D5)</f>
        <v>3243538263.995892</v>
      </c>
      <c r="E6" s="18">
        <f>D6*(1+E5)</f>
        <v>3531516215.236625</v>
      </c>
      <c r="F6" s="18">
        <f>E6*(1+F5)</f>
        <v>3845062324.966922</v>
      </c>
    </row>
    <row r="7" spans="1:6" x14ac:dyDescent="0.25">
      <c r="A7" t="s">
        <v>5</v>
      </c>
      <c r="B7" s="10">
        <f>Assumptions!B7</f>
        <v>0.17999786810268992</v>
      </c>
      <c r="C7" s="10">
        <f>Assumptions!B7</f>
        <v>0.17999786810268992</v>
      </c>
      <c r="D7" s="10">
        <f>Assumptions!B7</f>
        <v>0.17999786810268992</v>
      </c>
      <c r="E7" s="10">
        <f>Assumptions!B7</f>
        <v>0.17999786810268992</v>
      </c>
      <c r="F7" s="10">
        <f>Assumptions!B7</f>
        <v>0.17999786810268992</v>
      </c>
    </row>
    <row r="8" spans="1:6" x14ac:dyDescent="0.25">
      <c r="A8" t="s">
        <v>44</v>
      </c>
      <c r="B8" s="18">
        <f>B6*B7</f>
        <v>492495230.4655685</v>
      </c>
      <c r="C8" s="18">
        <f>C6*C7</f>
        <v>536221481.22068727</v>
      </c>
      <c r="D8" s="18">
        <f>D6*D7</f>
        <v>583829972.6287605</v>
      </c>
      <c r="E8" s="18">
        <f>E6*E7</f>
        <v>635665389.9126728</v>
      </c>
      <c r="F8" s="18">
        <f>F6*F7</f>
        <v>692103021.2160182</v>
      </c>
    </row>
    <row r="9" spans="1:6" x14ac:dyDescent="0.25">
      <c r="A9" t="s">
        <v>45</v>
      </c>
      <c r="B9" s="18">
        <f>B8*(1-Assumptions!B8)</f>
        <v>374447240.3943755</v>
      </c>
      <c r="C9" s="18">
        <f>C8*(1-Assumptions!B8)</f>
        <v>407692585.55755347</v>
      </c>
      <c r="D9" s="18">
        <f>D8*(1-Assumptions!B8)</f>
        <v>443889622.85726523</v>
      </c>
      <c r="E9" s="18">
        <f>E8*(1-Assumptions!B8)</f>
        <v>483300418.6497513</v>
      </c>
      <c r="F9" s="18">
        <f>F8*(1-Assumptions!B8)</f>
        <v>526210306.8855326</v>
      </c>
    </row>
    <row r="10" spans="1:6" x14ac:dyDescent="0.25">
      <c r="A10" t="s">
        <v>46</v>
      </c>
      <c r="B10" s="18">
        <f>B6*Assumptions!B9</f>
        <v>127451200.27570456</v>
      </c>
      <c r="C10" s="18">
        <f>C6*Assumptions!B9</f>
        <v>138766971.06403902</v>
      </c>
      <c r="D10" s="18">
        <f>D6*Assumptions!B9</f>
        <v>151087413.979879</v>
      </c>
      <c r="E10" s="18">
        <f>E6*Assumptions!B9</f>
        <v>164501728.96396798</v>
      </c>
      <c r="F10" s="18">
        <f>F6*Assumptions!B9</f>
        <v>179107035.5849667</v>
      </c>
    </row>
    <row r="11" spans="1:6" x14ac:dyDescent="0.25">
      <c r="A11" t="s">
        <v>47</v>
      </c>
      <c r="B11" s="18">
        <f>-B6*Assumptions!B10</f>
        <v>-52071822.59417283</v>
      </c>
      <c r="C11" s="18">
        <f>-C6*Assumptions!B10</f>
        <v>-56695025.8887031</v>
      </c>
      <c r="D11" s="18">
        <f>-D6*Assumptions!B10</f>
        <v>-61728700.86710617</v>
      </c>
      <c r="E11" s="18">
        <f>-E6*Assumptions!B10</f>
        <v>-67209291.30927393</v>
      </c>
      <c r="F11" s="18">
        <f>-F6*Assumptions!B10</f>
        <v>-73176476.66066304</v>
      </c>
    </row>
    <row r="12" spans="1:6" x14ac:dyDescent="0.25">
      <c r="A12" t="s">
        <v>48</v>
      </c>
      <c r="B12" s="18">
        <f>-(B6-Assumptions!B29)*Assumptions!B11</f>
        <v>16945596.449824188</v>
      </c>
      <c r="C12" s="18">
        <f>-(C6-B6)*Assumptions!B11</f>
        <v>18450113.354200304</v>
      </c>
      <c r="D12" s="18">
        <f>-(D6-C6)*Assumptions!B11</f>
        <v>20088208.98047364</v>
      </c>
      <c r="E12" s="18">
        <f>-(E6-D6)*Assumptions!B11</f>
        <v>21871743.13220758</v>
      </c>
      <c r="F12" s="18">
        <f>-(F6-E6)*Assumptions!B11</f>
        <v>23813628.587111134</v>
      </c>
    </row>
    <row r="13" spans="1:6" x14ac:dyDescent="0.25">
      <c r="A13" s="19" t="s">
        <v>49</v>
      </c>
      <c r="B13" s="20">
        <f>B9+B10+B11+B12</f>
        <v>466772214.52573144</v>
      </c>
      <c r="C13" s="20">
        <f>C9+C10+C11+C12</f>
        <v>508214644.0870897</v>
      </c>
      <c r="D13" s="20">
        <f>D9+D10+D11+D12</f>
        <v>553336544.9505117</v>
      </c>
      <c r="E13" s="20">
        <f>E9+E10+E11+E12</f>
        <v>602464599.4366529</v>
      </c>
      <c r="F13" s="20">
        <f>F9+F10+F11+F12</f>
        <v>655954494.3969474</v>
      </c>
    </row>
    <row r="14" spans="1:6" x14ac:dyDescent="0.25">
      <c r="A14" t="s">
        <v>50</v>
      </c>
      <c r="B14" s="21">
        <f>1/(1+Assumptions!$B$26)^(1-0.5*Assumptions!$B$32)</f>
        <v>0.9671378035763717</v>
      </c>
      <c r="C14" s="21">
        <f>1/(1+Assumptions!$B$26)^(2-0.5*Assumptions!$B$32)</f>
        <v>0.9046176939173783</v>
      </c>
      <c r="D14" s="21">
        <f>1/(1+Assumptions!$B$26)^(3-0.5*Assumptions!$B$32)</f>
        <v>0.8461391635424524</v>
      </c>
      <c r="E14" s="21">
        <f>1/(1+Assumptions!$B$26)^(4-0.5*Assumptions!$B$32)</f>
        <v>0.7914409467052843</v>
      </c>
      <c r="F14" s="21">
        <f>1/(1+Assumptions!$B$26)^(5-0.5*Assumptions!$B$32)</f>
        <v>0.7402786670449748</v>
      </c>
    </row>
    <row r="15" spans="1:6" x14ac:dyDescent="0.25">
      <c r="A15" s="19" t="s">
        <v>51</v>
      </c>
      <c r="B15" s="20">
        <f>B13*B14</f>
        <v>451433054.3268949</v>
      </c>
      <c r="C15" s="20">
        <f>C13*C14</f>
        <v>459739959.3491043</v>
      </c>
      <c r="D15" s="20">
        <f>D13*D14</f>
        <v>468199721.30189663</v>
      </c>
      <c r="E15" s="20">
        <f>E13*E14</f>
        <v>476815152.9345645</v>
      </c>
      <c r="F15" s="20">
        <f>F13*F14</f>
        <v>485589118.7543326</v>
      </c>
    </row>
    <row r="17" spans="1:2" x14ac:dyDescent="0.25">
      <c r="A17" s="22" t="s">
        <v>52</v>
      </c>
      <c r="B17" s="23">
        <f>SUM(B15:F15)</f>
        <v>2341777006.666793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655954494.3969474</v>
      </c>
    </row>
    <row r="5" spans="1:2" x14ac:dyDescent="0.25">
      <c r="A5" t="s">
        <v>56</v>
      </c>
      <c r="B5" s="18">
        <f>IF(Assumptions!$B$33=0,B4,B4-Forecast!F11-Forecast!F10-Forecast!F12)</f>
        <v>608769409.1074432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0.19753879663112398</v>
      </c>
    </row>
    <row r="7" spans="1:2" x14ac:dyDescent="0.25">
      <c r="A7" t="s">
        <v>58</v>
      </c>
      <c r="B7" s="18">
        <f>-MAX(Forecast!F9,0)*B6</f>
        <v>-120255576.50092474</v>
      </c>
    </row>
    <row r="8" spans="1:2" x14ac:dyDescent="0.25">
      <c r="A8" t="s">
        <v>59</v>
      </c>
      <c r="B8" s="18">
        <f>IF(OR(Assumptions!$B$33=0,Assumptions!B12&lt;=0),B5,MAX(B5+B7,0))</f>
        <v>488513832.6065185</v>
      </c>
    </row>
    <row r="9" spans="1:2" x14ac:dyDescent="0.25">
      <c r="A9" t="s">
        <v>60</v>
      </c>
      <c r="B9" s="18">
        <f>B8*(1+Assumptions!B12)/(Assumptions!B26-Assumptions!B12)</f>
        <v>11351208859.50102</v>
      </c>
    </row>
    <row r="10" spans="1:2" x14ac:dyDescent="0.25">
      <c r="A10" t="s">
        <v>61</v>
      </c>
      <c r="B10" s="18">
        <f>B9/(1+Assumptions!B26)^(5-0.5*Assumptions!B32)</f>
        <v>8403057763.860524</v>
      </c>
    </row>
    <row r="11" spans="1:2" x14ac:dyDescent="0.25">
      <c r="A11" t="s">
        <v>62</v>
      </c>
      <c r="B11" s="18">
        <f>Forecast!B17+B10</f>
        <v>10744834770.527317</v>
      </c>
    </row>
    <row r="12" spans="1:2" x14ac:dyDescent="0.25">
      <c r="A12" t="s">
        <v>63</v>
      </c>
      <c r="B12" s="18">
        <f>-Assumptions!B30</f>
        <v>-1189000000</v>
      </c>
    </row>
    <row r="13" spans="1:2" x14ac:dyDescent="0.25">
      <c r="A13" t="s">
        <v>64</v>
      </c>
      <c r="B13" s="18">
        <f>B11+B12</f>
        <v>9555834770.527317</v>
      </c>
    </row>
    <row r="14" spans="1:2" x14ac:dyDescent="0.25">
      <c r="A14" s="19" t="s">
        <v>65</v>
      </c>
      <c r="B14" s="24">
        <f>B13/Assumptions!B31</f>
        <v>9.623197150581387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871210056.8009849</v>
      </c>
    </row>
    <row r="18" spans="1:2" x14ac:dyDescent="0.25">
      <c r="A18" t="s">
        <v>60</v>
      </c>
      <c r="B18" s="18">
        <f>B17*Assumptions!B13</f>
        <v>14390001651.343386</v>
      </c>
    </row>
    <row r="19" spans="1:2" x14ac:dyDescent="0.25">
      <c r="A19" t="s">
        <v>61</v>
      </c>
      <c r="B19" s="18">
        <f>B18/(1+Assumptions!B26)^(5-0.5*Assumptions!B32)</f>
        <v>10652611241.231468</v>
      </c>
    </row>
    <row r="20" spans="1:2" x14ac:dyDescent="0.25">
      <c r="A20" t="s">
        <v>62</v>
      </c>
      <c r="B20" s="18">
        <f>Forecast!B17+B19</f>
        <v>12994388247.898262</v>
      </c>
    </row>
    <row r="21" spans="1:2" x14ac:dyDescent="0.25">
      <c r="A21" t="s">
        <v>63</v>
      </c>
      <c r="B21" s="18">
        <f>-Assumptions!B30</f>
        <v>-1189000000</v>
      </c>
    </row>
    <row r="22" spans="1:2" x14ac:dyDescent="0.25">
      <c r="A22" t="s">
        <v>64</v>
      </c>
      <c r="B22" s="18">
        <f>B20+B21</f>
        <v>11805388247.898262</v>
      </c>
    </row>
    <row r="23" spans="1:2" x14ac:dyDescent="0.25">
      <c r="A23" s="19" t="s">
        <v>65</v>
      </c>
      <c r="B23" s="25">
        <f>B22/Assumptions!B31</f>
        <v>11.888608507450416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1008.5</v>
      </c>
    </row>
    <row r="27" spans="1:3" x14ac:dyDescent="0.25">
      <c r="A27" t="s">
        <v>70</v>
      </c>
      <c r="B27" s="27">
        <v>100</v>
      </c>
      <c r="C27" s="8" t="s">
        <v>71</v>
      </c>
    </row>
    <row r="28" spans="1:2" x14ac:dyDescent="0.25">
      <c r="A28" t="s">
        <v>72</v>
      </c>
      <c r="B28" s="28">
        <f>B14*B27</f>
        <v>962.3197150581386</v>
      </c>
    </row>
    <row r="29" spans="1:2" x14ac:dyDescent="0.25">
      <c r="A29" s="19" t="s">
        <v>73</v>
      </c>
      <c r="B29" s="12">
        <f>B28/B26-1</f>
        <v>-0.04579106092400731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0.049112</v>
      </c>
      <c r="B5" s="31">
        <v>14.236598297289635</v>
      </c>
      <c r="C5" s="31">
        <v>15.853196112807131</v>
      </c>
      <c r="D5" s="31">
        <v>18.13215186808989</v>
      </c>
      <c r="E5" s="31">
        <v>21.593315348428778</v>
      </c>
      <c r="F5" s="31">
        <v>27.493284901034812</v>
      </c>
    </row>
    <row r="6" spans="1:6" x14ac:dyDescent="0.25">
      <c r="A6" s="30">
        <v>0.059112</v>
      </c>
      <c r="B6" s="31">
        <v>10.820526294333709</v>
      </c>
      <c r="C6" s="31">
        <v>11.613648136778185</v>
      </c>
      <c r="D6" s="31">
        <v>12.63379193146069</v>
      </c>
      <c r="E6" s="31">
        <v>13.997931066797362</v>
      </c>
      <c r="F6" s="31">
        <v>15.920063971363703</v>
      </c>
    </row>
    <row r="7" spans="1:6" x14ac:dyDescent="0.25">
      <c r="A7" s="30">
        <v>0.069112</v>
      </c>
      <c r="B7" s="31">
        <v>8.664725254608104</v>
      </c>
      <c r="C7" s="31">
        <v>9.097016373589465</v>
      </c>
      <c r="D7" s="32">
        <v>9.623241357919326</v>
      </c>
      <c r="E7" s="31">
        <v>10.279425161070478</v>
      </c>
      <c r="F7" s="31">
        <v>11.122714308673762</v>
      </c>
    </row>
    <row r="8" spans="1:6" x14ac:dyDescent="0.25">
      <c r="A8" s="30">
        <v>0.079112</v>
      </c>
      <c r="B8" s="31">
        <v>7.179604705571994</v>
      </c>
      <c r="C8" s="31">
        <v>7.429090120121832</v>
      </c>
      <c r="D8" s="31">
        <v>7.7215033566899125</v>
      </c>
      <c r="E8" s="31">
        <v>8.069955616821156</v>
      </c>
      <c r="F8" s="31">
        <v>8.493502607657547</v>
      </c>
    </row>
    <row r="9" spans="1:6" x14ac:dyDescent="0.25">
      <c r="A9" s="30">
        <v>0.089112</v>
      </c>
      <c r="B9" s="31">
        <v>6.09378186236074</v>
      </c>
      <c r="C9" s="31">
        <v>6.241614639332701</v>
      </c>
      <c r="D9" s="31">
        <v>6.4099330513211354</v>
      </c>
      <c r="E9" s="31">
        <v>6.603935442575053</v>
      </c>
      <c r="F9" s="31">
        <v>6.830741485052283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2513000000</v>
      </c>
      <c r="C5" s="18">
        <v>2332000000</v>
      </c>
      <c r="D5" s="18">
        <v>2184000000</v>
      </c>
      <c r="E5" s="18">
        <v>1947000000</v>
      </c>
      <c r="F5" s="8" t="s">
        <v>84</v>
      </c>
    </row>
    <row r="6" spans="1:6" x14ac:dyDescent="0.25">
      <c r="A6" t="s">
        <v>44</v>
      </c>
      <c r="B6" s="18">
        <v>530000000</v>
      </c>
      <c r="C6" s="18">
        <v>452000000</v>
      </c>
      <c r="D6" s="18">
        <v>315000000</v>
      </c>
      <c r="E6" s="18">
        <v>333000000</v>
      </c>
      <c r="F6" s="8" t="s">
        <v>85</v>
      </c>
    </row>
    <row r="7" spans="1:6" x14ac:dyDescent="0.25">
      <c r="A7" t="s">
        <v>86</v>
      </c>
      <c r="B7" s="18">
        <v>90000000</v>
      </c>
      <c r="C7" s="18">
        <v>96000000</v>
      </c>
      <c r="D7" s="18">
        <v>130000000</v>
      </c>
      <c r="E7" s="18">
        <v>97000000</v>
      </c>
      <c r="F7" s="8" t="s">
        <v>87</v>
      </c>
    </row>
    <row r="8" spans="1:6" x14ac:dyDescent="0.25">
      <c r="A8" t="s">
        <v>88</v>
      </c>
      <c r="B8" s="18">
        <v>59000000</v>
      </c>
      <c r="C8" s="18">
        <v>37000000</v>
      </c>
      <c r="D8" s="18">
        <v>22000000</v>
      </c>
      <c r="E8" s="18">
        <v>52000000</v>
      </c>
      <c r="F8" s="8" t="s">
        <v>89</v>
      </c>
    </row>
    <row r="9" spans="1:6" x14ac:dyDescent="0.25">
      <c r="A9" t="s">
        <v>90</v>
      </c>
      <c r="B9" s="18">
        <v>-8000000</v>
      </c>
      <c r="C9" s="18">
        <v>-29000000</v>
      </c>
      <c r="D9" s="18">
        <v>-18000000</v>
      </c>
      <c r="E9" s="18">
        <v>74000000</v>
      </c>
      <c r="F9" s="8" t="s">
        <v>91</v>
      </c>
    </row>
    <row r="10" spans="1:6" x14ac:dyDescent="0.25">
      <c r="A10" t="s">
        <v>92</v>
      </c>
      <c r="B10" s="18">
        <v>1579000000</v>
      </c>
      <c r="C10" s="18">
        <v>1246000000</v>
      </c>
      <c r="D10" s="18">
        <v>1257000000</v>
      </c>
      <c r="E10" s="18">
        <v>1222000000</v>
      </c>
      <c r="F10" s="8" t="s">
        <v>93</v>
      </c>
    </row>
    <row r="11" spans="1:6" x14ac:dyDescent="0.25">
      <c r="A11" t="s">
        <v>94</v>
      </c>
      <c r="B11" s="18">
        <v>390000000</v>
      </c>
      <c r="C11" s="18">
        <v>508000000</v>
      </c>
      <c r="D11" s="18">
        <v>696000000</v>
      </c>
      <c r="E11" s="18">
        <v>489000000</v>
      </c>
      <c r="F11" s="8" t="s">
        <v>95</v>
      </c>
    </row>
    <row r="12" spans="1:6" x14ac:dyDescent="0.25">
      <c r="A12" t="s">
        <v>32</v>
      </c>
      <c r="B12" s="34">
        <v>993000000</v>
      </c>
      <c r="C12" s="34">
        <v>1025000000</v>
      </c>
      <c r="D12" s="34">
        <v>1036000000</v>
      </c>
      <c r="E12" s="34">
        <v>1032000000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2026-09-19T00:08:08Z</dcterms:modified>
</cp:coreProperties>
</file>