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<sst xmlns="http://schemas.openxmlformats.org/spreadsheetml/2006/main" count="112" uniqueCount="100">
  <si>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Sims Limited (SGM.AX)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</si>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</sst>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-0.0022213362170354634</v>
      </c>
    </row>
    <row r="7" spans="1:2" x14ac:dyDescent="0.25">
      <c r="A7" t="s">
        <v>5</v>
      </c>
      <c r="B7" s="6">
        <v>0.004792310913704426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0.031574720576612335</v>
      </c>
    </row>
    <row r="10" spans="1:2" x14ac:dyDescent="0.25">
      <c r="A10" t="s">
        <v>8</v>
      </c>
      <c r="B10" s="6">
        <v>0.0275608692810406</v>
      </c>
    </row>
    <row r="11" spans="1:2" x14ac:dyDescent="0.25">
      <c r="A11" t="s">
        <v>9</v>
      </c>
      <c r="B11" s="6">
        <v>0.2821811100292113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9.689424220511903</v>
      </c>
    </row>
    <row r="14" spans="1:3" x14ac:dyDescent="0.25">
      <c r="A14" t="s">
        <v>12</v>
      </c>
      <c r="B14" s="6">
        <v>0.11158004653445154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1.14874</v>
      </c>
      <c r="C19" s="8" t="s">
        <v>19</v>
      </c>
    </row>
    <row r="20" spans="1:2" x14ac:dyDescent="0.25">
      <c r="A20" t="s">
        <v>20</v>
      </c>
      <c r="B20" s="10">
        <f>B17+B19*B18</f>
        <v>0.1224044</v>
      </c>
    </row>
    <row r="21" spans="1:3" x14ac:dyDescent="0.25">
      <c r="A21" t="s">
        <v>21</v>
      </c>
      <c r="B21" s="6">
        <v>0.06987115956392467</v>
      </c>
      <c r="C21" s="8" t="s">
        <v>22</v>
      </c>
    </row>
    <row r="22" spans="1:2" x14ac:dyDescent="0.25">
      <c r="A22" t="s">
        <v>23</v>
      </c>
      <c r="B22" s="11">
        <v>4786381312</v>
      </c>
    </row>
    <row r="23" spans="1:2" x14ac:dyDescent="0.25">
      <c r="A23" t="s">
        <v>24</v>
      </c>
      <c r="B23" s="11">
        <v>826700000</v>
      </c>
    </row>
    <row r="24" spans="1:2" x14ac:dyDescent="0.25">
      <c r="A24" t="s">
        <v>25</v>
      </c>
      <c r="B24" s="10">
        <f>B22/(B22+B23)</f>
        <v>0.8527190407463672</v>
      </c>
    </row>
    <row r="25" spans="1:2" x14ac:dyDescent="0.25">
      <c r="A25" t="s">
        <v>26</v>
      </c>
      <c r="B25" s="10">
        <f>1-B24</f>
        <v>0.14728095925363283</v>
      </c>
    </row>
    <row r="26" spans="1:2" x14ac:dyDescent="0.25">
      <c r="A26" t="s">
        <v>27</v>
      </c>
      <c r="B26" s="12">
        <f>B24*B20+B25*B21*(1-B8)</f>
        <v>0.11158004653445154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8007500000</v>
      </c>
      <c r="C29" s="8" t="s">
        <v>30</v>
      </c>
    </row>
    <row r="30" spans="1:2" x14ac:dyDescent="0.25">
      <c r="A30" t="s">
        <v>31</v>
      </c>
      <c r="B30" s="11">
        <v>627100000</v>
      </c>
    </row>
    <row r="31" spans="1:2" x14ac:dyDescent="0.25">
      <c r="A31" t="s">
        <v>32</v>
      </c>
      <c r="B31" s="13">
        <v>195770152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-0.0022213362170354634</v>
      </c>
      <c r="C5" s="10">
        <f>Assumptions!B6</f>
        <v>-0.0022213362170354634</v>
      </c>
      <c r="D5" s="10">
        <f>Assumptions!B6</f>
        <v>-0.0022213362170354634</v>
      </c>
      <c r="E5" s="10">
        <f>Assumptions!B6</f>
        <v>-0.0022213362170354634</v>
      </c>
      <c r="F5" s="10">
        <f>Assumptions!B6</f>
        <v>-0.0022213362170354634</v>
      </c>
    </row>
    <row r="6" spans="1:6" x14ac:dyDescent="0.25">
      <c r="A6" t="s">
        <v>43</v>
      </c>
      <c r="B6" s="18">
        <f>Assumptions!B29*(1+B5)</f>
        <v>7989712650.242088</v>
      </c>
      <c r="C6" s="18">
        <f>B6*(1+C5)</f>
        <v>7971964812.168399</v>
      </c>
      <c r="D6" s="18">
        <f>C6*(1+D5)</f>
        <v>7954256398.010197</v>
      </c>
      <c r="E6" s="18">
        <f>D6*(1+E5)</f>
        <v>7936587320.19371</v>
      </c>
      <c r="F6" s="18">
        <f>E6*(1+F5)</f>
        <v>7918957491.3397</v>
      </c>
    </row>
    <row r="7" spans="1:6" x14ac:dyDescent="0.25">
      <c r="A7" t="s">
        <v>5</v>
      </c>
      <c r="B7" s="10">
        <f>Assumptions!B7</f>
        <v>0.004792310913704426</v>
      </c>
      <c r="C7" s="10">
        <f>Assumptions!B7</f>
        <v>0.004792310913704426</v>
      </c>
      <c r="D7" s="10">
        <f>Assumptions!B7</f>
        <v>0.004792310913704426</v>
      </c>
      <c r="E7" s="10">
        <f>Assumptions!B7</f>
        <v>0.004792310913704426</v>
      </c>
      <c r="F7" s="10">
        <f>Assumptions!B7</f>
        <v>0.004792310913704426</v>
      </c>
    </row>
    <row r="8" spans="1:6" x14ac:dyDescent="0.25">
      <c r="A8" t="s">
        <v>44</v>
      </c>
      <c r="B8" s="18">
        <f>B6*B7</f>
        <v>38289187.13111747</v>
      </c>
      <c r="C8" s="18">
        <f>C6*C7</f>
        <v>38204133.97302227</v>
      </c>
      <c r="D8" s="18">
        <f>D6*D7</f>
        <v>38119269.74658752</v>
      </c>
      <c r="E8" s="18">
        <f>E6*E7</f>
        <v>38034594.03213248</v>
      </c>
      <c r="F8" s="18">
        <f>F6*F7</f>
        <v>37950106.41090866</v>
      </c>
    </row>
    <row r="9" spans="1:6" x14ac:dyDescent="0.25">
      <c r="A9" t="s">
        <v>45</v>
      </c>
      <c r="B9" s="18">
        <f>B8*(1-Assumptions!B8)</f>
        <v>26802430.99178223</v>
      </c>
      <c r="C9" s="18">
        <f>C8*(1-Assumptions!B8)</f>
        <v>26742893.781115584</v>
      </c>
      <c r="D9" s="18">
        <f>D8*(1-Assumptions!B8)</f>
        <v>26683488.822611265</v>
      </c>
      <c r="E9" s="18">
        <f>E8*(1-Assumptions!B8)</f>
        <v>26624215.822492734</v>
      </c>
      <c r="F9" s="18">
        <f>F8*(1-Assumptions!B8)</f>
        <v>26565074.487636063</v>
      </c>
    </row>
    <row r="10" spans="1:6" x14ac:dyDescent="0.25">
      <c r="A10" t="s">
        <v>46</v>
      </c>
      <c r="B10" s="18">
        <f>B6*Assumptions!B9</f>
        <v>252272944.41881874</v>
      </c>
      <c r="C10" s="18">
        <f>C6*Assumptions!B9</f>
        <v>251712561.39080304</v>
      </c>
      <c r="D10" s="18">
        <f>D6*Assumptions!B9</f>
        <v>251153423.16190287</v>
      </c>
      <c r="E10" s="18">
        <f>E6*Assumptions!B9</f>
        <v>250595526.9670009</v>
      </c>
      <c r="F10" s="18">
        <f>F6*Assumptions!B9</f>
        <v>250038870.047122</v>
      </c>
    </row>
    <row r="11" spans="1:6" x14ac:dyDescent="0.25">
      <c r="A11" t="s">
        <v>47</v>
      </c>
      <c r="B11" s="18">
        <f>-B6*Assumptions!B10</f>
        <v>-220203425.94639865</v>
      </c>
      <c r="C11" s="18">
        <f>-C6*Assumptions!B10</f>
        <v>-219714280.10122862</v>
      </c>
      <c r="D11" s="18">
        <f>-D6*Assumptions!B10</f>
        <v>-219226220.81343988</v>
      </c>
      <c r="E11" s="18">
        <f>-E6*Assumptions!B10</f>
        <v>-218739245.66942316</v>
      </c>
      <c r="F11" s="18">
        <f>-F6*Assumptions!B10</f>
        <v>-218253352.26093066</v>
      </c>
    </row>
    <row r="12" spans="1:6" x14ac:dyDescent="0.25">
      <c r="A12" t="s">
        <v>48</v>
      </c>
      <c r="B12" s="18">
        <f>-(B6-Assumptions!B29)*Assumptions!B11</f>
        <v>5019254.099165342</v>
      </c>
      <c r="C12" s="18">
        <f>-(C6-B6)*Assumptions!B11</f>
        <v>5008104.648252391</v>
      </c>
      <c r="D12" s="18">
        <f>-(D6-C6)*Assumptions!B11</f>
        <v>4996979.96401849</v>
      </c>
      <c r="E12" s="18">
        <f>-(E6-D6)*Assumptions!B11</f>
        <v>4985879.991448634</v>
      </c>
      <c r="F12" s="18">
        <f>-(F6-E6)*Assumptions!B11</f>
        <v>4974804.675649724</v>
      </c>
    </row>
    <row r="13" spans="1:6" x14ac:dyDescent="0.25">
      <c r="A13" s="19" t="s">
        <v>49</v>
      </c>
      <c r="B13" s="20">
        <f>B9+B10+B11+B12</f>
        <v>63891203.56336766</v>
      </c>
      <c r="C13" s="20">
        <f>C9+C10+C11+C12</f>
        <v>63749279.7189424</v>
      </c>
      <c r="D13" s="20">
        <f>D9+D10+D11+D12</f>
        <v>63607671.135092735</v>
      </c>
      <c r="E13" s="20">
        <f>E9+E10+E11+E12</f>
        <v>63466377.11151909</v>
      </c>
      <c r="F13" s="20">
        <f>F9+F10+F11+F12</f>
        <v>63325396.94947716</v>
      </c>
    </row>
    <row r="14" spans="1:6" x14ac:dyDescent="0.25">
      <c r="A14" t="s">
        <v>50</v>
      </c>
      <c r="B14" s="21">
        <f>1/(1+Assumptions!$B$26)^(1-0.5*Assumptions!$B$32)</f>
        <v>0.9484831693535107</v>
      </c>
      <c r="C14" s="21">
        <f>1/(1+Assumptions!$B$26)^(2-0.5*Assumptions!$B$32)</f>
        <v>0.853274734744093</v>
      </c>
      <c r="D14" s="21">
        <f>1/(1+Assumptions!$B$26)^(3-0.5*Assumptions!$B$32)</f>
        <v>0.7676232920915851</v>
      </c>
      <c r="E14" s="21">
        <f>1/(1+Assumptions!$B$26)^(4-0.5*Assumptions!$B$32)</f>
        <v>0.6905695136259301</v>
      </c>
      <c r="F14" s="21">
        <f>1/(1+Assumptions!$B$26)^(5-0.5*Assumptions!$B$32)</f>
        <v>0.6212503685892017</v>
      </c>
    </row>
    <row r="15" spans="1:6" x14ac:dyDescent="0.25">
      <c r="A15" s="19" t="s">
        <v>51</v>
      </c>
      <c r="B15" s="20">
        <f>B13*B14</f>
        <v>60599731.24959327</v>
      </c>
      <c r="C15" s="20">
        <f>C13*C14</f>
        <v>54395649.74230756</v>
      </c>
      <c r="D15" s="20">
        <f>D13*D14</f>
        <v>48826729.91899878</v>
      </c>
      <c r="E15" s="20">
        <f>E13*E14</f>
        <v>43827945.1735016</v>
      </c>
      <c r="F15" s="20">
        <f>F13*F14</f>
        <v>39340926.19592019</v>
      </c>
    </row>
    <row r="17" spans="1:2" x14ac:dyDescent="0.25">
      <c r="A17" s="22" t="s">
        <v>52</v>
      </c>
      <c r="B17" s="23">
        <f>SUM(B15:F15)</f>
        <v>246990982.28032142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63325396.94947716</v>
      </c>
    </row>
    <row r="5" spans="1:2" x14ac:dyDescent="0.25">
      <c r="A5" t="s">
        <v>56</v>
      </c>
      <c r="B5" s="18">
        <f>IF(Assumptions!$B$33=0,B4,B4-Forecast!F11-Forecast!F10-Forecast!F12)</f>
        <v>26565074.487636063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0.22405439661006937</v>
      </c>
    </row>
    <row r="7" spans="1:2" x14ac:dyDescent="0.25">
      <c r="A7" t="s">
        <v>58</v>
      </c>
      <c r="B7" s="18">
        <f>-MAX(Forecast!F9,0)*B6</f>
        <v>-5952021.735228846</v>
      </c>
    </row>
    <row r="8" spans="1:2" x14ac:dyDescent="0.25">
      <c r="A8" t="s">
        <v>59</v>
      </c>
      <c r="B8" s="18">
        <f>IF(OR(Assumptions!$B$33=0,Assumptions!B12&lt;=0),B5,MAX(B5+B7,0))</f>
        <v>20613052.752407216</v>
      </c>
    </row>
    <row r="9" spans="1:2" x14ac:dyDescent="0.25">
      <c r="A9" t="s">
        <v>60</v>
      </c>
      <c r="B9" s="18">
        <f>B8*(1+Assumptions!B12)/(Assumptions!B26-Assumptions!B12)</f>
        <v>244032891.14438266</v>
      </c>
    </row>
    <row r="10" spans="1:2" x14ac:dyDescent="0.25">
      <c r="A10" t="s">
        <v>61</v>
      </c>
      <c r="B10" s="18">
        <f>B9/(1+Assumptions!B26)^(5-0.5*Assumptions!B32)</f>
        <v>151605523.57133627</v>
      </c>
    </row>
    <row r="11" spans="1:2" x14ac:dyDescent="0.25">
      <c r="A11" t="s">
        <v>62</v>
      </c>
      <c r="B11" s="18">
        <f>Forecast!B17+B10</f>
        <v>398596505.8516577</v>
      </c>
    </row>
    <row r="12" spans="1:2" x14ac:dyDescent="0.25">
      <c r="A12" t="s">
        <v>63</v>
      </c>
      <c r="B12" s="18">
        <f>-Assumptions!B30</f>
        <v>-627100000</v>
      </c>
    </row>
    <row r="13" spans="1:2" x14ac:dyDescent="0.25">
      <c r="A13" t="s">
        <v>64</v>
      </c>
      <c r="B13" s="18">
        <f>B11+B12</f>
        <v>-228503494.1483423</v>
      </c>
    </row>
    <row r="14" spans="1:2" x14ac:dyDescent="0.25">
      <c r="A14" s="19" t="s">
        <v>65</v>
      </c>
      <c r="B14" s="24">
        <f>B13/Assumptions!B31</f>
        <v>-1.1672029255427165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287988976.45803064</v>
      </c>
    </row>
    <row r="18" spans="1:2" x14ac:dyDescent="0.25">
      <c r="A18" t="s">
        <v>60</v>
      </c>
      <c r="B18" s="18">
        <f>B17*Assumptions!B13</f>
        <v>2790447363.7328744</v>
      </c>
    </row>
    <row r="19" spans="1:2" x14ac:dyDescent="0.25">
      <c r="A19" t="s">
        <v>61</v>
      </c>
      <c r="B19" s="18">
        <f>B18/(1+Assumptions!B26)^(5-0.5*Assumptions!B32)</f>
        <v>1733566453.2478144</v>
      </c>
    </row>
    <row r="20" spans="1:2" x14ac:dyDescent="0.25">
      <c r="A20" t="s">
        <v>62</v>
      </c>
      <c r="B20" s="18">
        <f>Forecast!B17+B19</f>
        <v>1980557435.5281358</v>
      </c>
    </row>
    <row r="21" spans="1:2" x14ac:dyDescent="0.25">
      <c r="A21" t="s">
        <v>63</v>
      </c>
      <c r="B21" s="18">
        <f>-Assumptions!B30</f>
        <v>-627100000</v>
      </c>
    </row>
    <row r="22" spans="1:2" x14ac:dyDescent="0.25">
      <c r="A22" t="s">
        <v>64</v>
      </c>
      <c r="B22" s="18">
        <f>B20+B21</f>
        <v>1353457435.5281358</v>
      </c>
    </row>
    <row r="23" spans="1:2" x14ac:dyDescent="0.25">
      <c r="A23" s="19" t="s">
        <v>65</v>
      </c>
      <c r="B23" s="25">
        <f>B22/Assumptions!B31</f>
        <v>6.913502501280869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24.77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-1.1672029255427165</v>
      </c>
    </row>
    <row r="29" spans="1:2" x14ac:dyDescent="0.25">
      <c r="A29" s="19" t="s">
        <v>73</v>
      </c>
      <c r="B29" s="12">
        <f>B28/B26-1</f>
        <v>-1.0471216360735855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0.09158</v>
      </c>
      <c r="B5" s="31">
        <v>-0.8738720730014322</v>
      </c>
      <c r="C5" s="31">
        <v>-0.8688776668069133</v>
      </c>
      <c r="D5" s="31">
        <v>-0.8638832606123952</v>
      </c>
      <c r="E5" s="31">
        <v>-0.858888854417876</v>
      </c>
      <c r="F5" s="31">
        <v>-0.8538944482233582</v>
      </c>
    </row>
    <row r="6" spans="1:6" x14ac:dyDescent="0.25">
      <c r="A6" s="30">
        <v>0.10158</v>
      </c>
      <c r="B6" s="31">
        <v>-1.037876958319892</v>
      </c>
      <c r="C6" s="31">
        <v>-1.0335552628080382</v>
      </c>
      <c r="D6" s="31">
        <v>-1.0292335672961845</v>
      </c>
      <c r="E6" s="31">
        <v>-1.0249118717843306</v>
      </c>
      <c r="F6" s="31">
        <v>-1.0205901762724767</v>
      </c>
    </row>
    <row r="7" spans="1:6" x14ac:dyDescent="0.25">
      <c r="A7" s="30">
        <v>0.11158</v>
      </c>
      <c r="B7" s="31">
        <v>-1.1747575182344758</v>
      </c>
      <c r="C7" s="31">
        <v>-1.170979927117749</v>
      </c>
      <c r="D7" s="32">
        <v>-1.1672023360010224</v>
      </c>
      <c r="E7" s="31">
        <v>-1.1634247448842958</v>
      </c>
      <c r="F7" s="31">
        <v>-1.1596471537675694</v>
      </c>
    </row>
    <row r="8" spans="1:6" x14ac:dyDescent="0.25">
      <c r="A8" s="30">
        <v>0.12158</v>
      </c>
      <c r="B8" s="31">
        <v>-1.2910904080681613</v>
      </c>
      <c r="C8" s="31">
        <v>-1.2877604691159796</v>
      </c>
      <c r="D8" s="31">
        <v>-1.284430530163799</v>
      </c>
      <c r="E8" s="31">
        <v>-1.2811005912116178</v>
      </c>
      <c r="F8" s="31">
        <v>-1.2777706522594365</v>
      </c>
    </row>
    <row r="9" spans="1:6" x14ac:dyDescent="0.25">
      <c r="A9" s="30">
        <v>0.13158</v>
      </c>
      <c r="B9" s="31">
        <v>-1.39145997198149</v>
      </c>
      <c r="C9" s="31">
        <v>-1.388503586921327</v>
      </c>
      <c r="D9" s="31">
        <v>-1.385547201861164</v>
      </c>
      <c r="E9" s="31">
        <v>-1.382590816801001</v>
      </c>
      <c r="F9" s="31">
        <v>-1.3796344317408384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8007500000</v>
      </c>
      <c r="C5" s="18">
        <v>7494000000</v>
      </c>
      <c r="D5" s="18">
        <v>7195400000</v>
      </c>
      <c r="E5" s="18">
        <v>8061100000</v>
      </c>
      <c r="F5" s="8" t="s">
        <v>84</v>
      </c>
    </row>
    <row r="6" spans="1:6" x14ac:dyDescent="0.25">
      <c r="A6" t="s">
        <v>44</v>
      </c>
      <c r="B6" s="18">
        <v>298900000</v>
      </c>
      <c r="C6" s="18">
        <v>-4000000</v>
      </c>
      <c r="D6" s="18">
        <v>-117800000</v>
      </c>
      <c r="E6" s="18">
        <v>-10100000</v>
      </c>
      <c r="F6" s="8" t="s">
        <v>85</v>
      </c>
    </row>
    <row r="7" spans="1:6" x14ac:dyDescent="0.25">
      <c r="A7" t="s">
        <v>86</v>
      </c>
      <c r="B7" s="18">
        <v>259800000</v>
      </c>
      <c r="C7" s="18">
        <v>255100000</v>
      </c>
      <c r="D7" s="18">
        <v>231600000</v>
      </c>
      <c r="E7" s="18">
        <v>222700000</v>
      </c>
      <c r="F7" s="8" t="s">
        <v>87</v>
      </c>
    </row>
    <row r="8" spans="1:6" x14ac:dyDescent="0.25">
      <c r="A8" t="s">
        <v>88</v>
      </c>
      <c r="B8" s="18">
        <v>205600000</v>
      </c>
      <c r="C8" s="18">
        <v>194100000</v>
      </c>
      <c r="D8" s="18">
        <v>214600000</v>
      </c>
      <c r="E8" s="18">
        <v>232500000</v>
      </c>
      <c r="F8" s="8" t="s">
        <v>89</v>
      </c>
    </row>
    <row r="9" spans="1:6" x14ac:dyDescent="0.25">
      <c r="A9" t="s">
        <v>90</v>
      </c>
      <c r="B9" s="18">
        <v>144900000</v>
      </c>
      <c r="C9" s="18">
        <v>106800000</v>
      </c>
      <c r="D9" s="18">
        <v>-21500000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826700000</v>
      </c>
      <c r="C10" s="18">
        <v>787700000</v>
      </c>
      <c r="D10" s="18">
        <v>949300000</v>
      </c>
      <c r="E10" s="18">
        <v>804800000</v>
      </c>
      <c r="F10" s="8" t="s">
        <v>93</v>
      </c>
    </row>
    <row r="11" spans="1:6" x14ac:dyDescent="0.25">
      <c r="A11" t="s">
        <v>94</v>
      </c>
      <c r="B11" s="18">
        <v>199600000</v>
      </c>
      <c r="C11" s="18">
        <v>215600000</v>
      </c>
      <c r="D11" s="18">
        <v>280800000</v>
      </c>
      <c r="E11" s="18">
        <v>329900000</v>
      </c>
      <c r="F11" s="8" t="s">
        <v>95</v>
      </c>
    </row>
    <row r="12" spans="1:6" x14ac:dyDescent="0.25">
      <c r="A12" t="s">
        <v>32</v>
      </c>
      <c r="B12" s="34">
        <v>195770152</v>
      </c>
      <c r="C12" s="34">
        <v>193223486</v>
      </c>
      <c r="D12" s="34">
        <v>193199000</v>
      </c>
      <c r="E12" s="34">
        <v>197491821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2026-09-19T00:07:52Z</dcterms:modified>
</cp:coreProperties>
</file>