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<sst xmlns="http://schemas.openxmlformats.org/spreadsheetml/2006/main" count="112" uniqueCount="100">
  <si>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Compagnie de Saint-Gobain S.A. (SGO.PA)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</si>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</sst>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-0.031685254335870994</v>
      </c>
    </row>
    <row r="7" spans="1:2" x14ac:dyDescent="0.25">
      <c r="A7" t="s">
        <v>5</v>
      </c>
      <c r="B7" s="6">
        <v>0.10466939702831997</v>
      </c>
    </row>
    <row r="8" spans="1:2" x14ac:dyDescent="0.25">
      <c r="A8" t="s">
        <v>6</v>
      </c>
      <c r="B8" s="6">
        <v>0.25586050949118555</v>
      </c>
    </row>
    <row r="9" spans="1:2" x14ac:dyDescent="0.25">
      <c r="A9" t="s">
        <v>7</v>
      </c>
      <c r="B9" s="6">
        <v>0.052665472629657484</v>
      </c>
    </row>
    <row r="10" spans="1:2" x14ac:dyDescent="0.25">
      <c r="A10" t="s">
        <v>8</v>
      </c>
      <c r="B10" s="6">
        <v>0.042618399031965556</v>
      </c>
    </row>
    <row r="11" spans="1:2" x14ac:dyDescent="0.25">
      <c r="A11" t="s">
        <v>9</v>
      </c>
      <c r="B11" s="6">
        <v>-0.053896576839038604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5.775505536675462</v>
      </c>
    </row>
    <row r="14" spans="1:3" x14ac:dyDescent="0.25">
      <c r="A14" t="s">
        <v>12</v>
      </c>
      <c r="B14" s="6">
        <v>0.09890200814618337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1.14003</v>
      </c>
      <c r="C19" s="8" t="s">
        <v>19</v>
      </c>
    </row>
    <row r="20" spans="1:2" x14ac:dyDescent="0.25">
      <c r="A20" t="s">
        <v>20</v>
      </c>
      <c r="B20" s="10">
        <f>B17+B19*B18</f>
        <v>0.1004018</v>
      </c>
    </row>
    <row r="21" spans="1:3" x14ac:dyDescent="0.25">
      <c r="A21" t="s">
        <v>21</v>
      </c>
      <c r="B21" s="6">
        <v>0.053418803418803416</v>
      </c>
      <c r="C21" s="8" t="s">
        <v>22</v>
      </c>
    </row>
    <row r="22" spans="1:2" x14ac:dyDescent="0.25">
      <c r="A22" t="s">
        <v>23</v>
      </c>
      <c r="B22" s="11">
        <v>33781331968</v>
      </c>
    </row>
    <row r="23" spans="1:2" x14ac:dyDescent="0.25">
      <c r="A23" t="s">
        <v>24</v>
      </c>
      <c r="B23" s="11">
        <v>17729000000</v>
      </c>
    </row>
    <row r="24" spans="1:2" x14ac:dyDescent="0.25">
      <c r="A24" t="s">
        <v>25</v>
      </c>
      <c r="B24" s="10">
        <f>B22/(B22+B23)</f>
        <v>0.6558166231385605</v>
      </c>
    </row>
    <row r="25" spans="1:2" x14ac:dyDescent="0.25">
      <c r="A25" t="s">
        <v>26</v>
      </c>
      <c r="B25" s="10">
        <f>1-B24</f>
        <v>0.3441833768614395</v>
      </c>
    </row>
    <row r="26" spans="1:2" x14ac:dyDescent="0.25">
      <c r="A26" t="s">
        <v>27</v>
      </c>
      <c r="B26" s="12">
        <f>B24*B20+B25*B21*(1-B8)</f>
        <v>0.07952681701312259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46483000000</v>
      </c>
      <c r="C29" s="8" t="s">
        <v>30</v>
      </c>
    </row>
    <row r="30" spans="1:2" x14ac:dyDescent="0.25">
      <c r="A30" t="s">
        <v>31</v>
      </c>
      <c r="B30" s="11">
        <v>9997000000</v>
      </c>
    </row>
    <row r="31" spans="1:2" x14ac:dyDescent="0.25">
      <c r="A31" t="s">
        <v>32</v>
      </c>
      <c r="B31" s="13">
        <v>498373944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-0.031685254335870994</v>
      </c>
      <c r="C5" s="10">
        <f>Assumptions!B6</f>
        <v>-0.031685254335870994</v>
      </c>
      <c r="D5" s="10">
        <f>Assumptions!B6</f>
        <v>-0.031685254335870994</v>
      </c>
      <c r="E5" s="10">
        <f>Assumptions!B6</f>
        <v>-0.031685254335870994</v>
      </c>
      <c r="F5" s="10">
        <f>Assumptions!B6</f>
        <v>-0.031685254335870994</v>
      </c>
    </row>
    <row r="6" spans="1:6" x14ac:dyDescent="0.25">
      <c r="A6" t="s">
        <v>43</v>
      </c>
      <c r="B6" s="18">
        <f>Assumptions!B29*(1+B5)</f>
        <v>45010174322.70571</v>
      </c>
      <c r="C6" s="18">
        <f>B6*(1+C5)</f>
        <v>43584015501.58889</v>
      </c>
      <c r="D6" s="18">
        <f>C6*(1+D5)</f>
        <v>42203044885.442505</v>
      </c>
      <c r="E6" s="18">
        <f>D6*(1+E5)</f>
        <v>40865830674.49908</v>
      </c>
      <c r="F6" s="18">
        <f>E6*(1+F5)</f>
        <v>39570986435.93094</v>
      </c>
    </row>
    <row r="7" spans="1:6" x14ac:dyDescent="0.25">
      <c r="A7" t="s">
        <v>5</v>
      </c>
      <c r="B7" s="10">
        <f>Assumptions!B7</f>
        <v>0.10466939702831997</v>
      </c>
      <c r="C7" s="10">
        <f>Assumptions!B7</f>
        <v>0.10466939702831997</v>
      </c>
      <c r="D7" s="10">
        <f>Assumptions!B7</f>
        <v>0.10466939702831997</v>
      </c>
      <c r="E7" s="10">
        <f>Assumptions!B7</f>
        <v>0.10466939702831997</v>
      </c>
      <c r="F7" s="10">
        <f>Assumptions!B7</f>
        <v>0.10466939702831997</v>
      </c>
    </row>
    <row r="8" spans="1:6" x14ac:dyDescent="0.25">
      <c r="A8" t="s">
        <v>44</v>
      </c>
      <c r="B8" s="18">
        <f>B6*B7</f>
        <v>4711187806.497177</v>
      </c>
      <c r="C8" s="18">
        <f>C6*C7</f>
        <v>4561912622.62426</v>
      </c>
      <c r="D8" s="18">
        <f>D6*D7</f>
        <v>4417367260.91839</v>
      </c>
      <c r="E8" s="18">
        <f>E6*E7</f>
        <v>4277401855.7612405</v>
      </c>
      <c r="F8" s="18">
        <f>F6*F7</f>
        <v>4141871290.0647197</v>
      </c>
    </row>
    <row r="9" spans="1:6" x14ac:dyDescent="0.25">
      <c r="A9" t="s">
        <v>45</v>
      </c>
      <c r="B9" s="18">
        <f>B8*(1-Assumptions!B8)</f>
        <v>3505780894.0181484</v>
      </c>
      <c r="C9" s="18">
        <f>C8*(1-Assumptions!B8)</f>
        <v>3394699334.7453465</v>
      </c>
      <c r="D9" s="18">
        <f>D8*(1-Assumptions!B8)</f>
        <v>3287137422.930128</v>
      </c>
      <c r="E9" s="18">
        <f>E8*(1-Assumptions!B8)</f>
        <v>3182983637.647627</v>
      </c>
      <c r="F9" s="18">
        <f>F8*(1-Assumptions!B8)</f>
        <v>3082129991.5418468</v>
      </c>
    </row>
    <row r="10" spans="1:6" x14ac:dyDescent="0.25">
      <c r="A10" t="s">
        <v>46</v>
      </c>
      <c r="B10" s="18">
        <f>B6*Assumptions!B9</f>
        <v>2370482103.84857</v>
      </c>
      <c r="C10" s="18">
        <f>C6*Assumptions!B9</f>
        <v>2295372775.489497</v>
      </c>
      <c r="D10" s="18">
        <f>D6*Assumptions!B9</f>
        <v>2222643305.3024783</v>
      </c>
      <c r="E10" s="18">
        <f>E6*Assumptions!B9</f>
        <v>2152218286.8760486</v>
      </c>
      <c r="F10" s="18">
        <f>F6*Assumptions!B9</f>
        <v>2084024703.0700684</v>
      </c>
    </row>
    <row r="11" spans="1:6" x14ac:dyDescent="0.25">
      <c r="A11" t="s">
        <v>47</v>
      </c>
      <c r="B11" s="18">
        <f>-B6*Assumptions!B10</f>
        <v>-1918261569.783402</v>
      </c>
      <c r="C11" s="18">
        <f>-C6*Assumptions!B10</f>
        <v>-1857480964.0620878</v>
      </c>
      <c r="D11" s="18">
        <f>-D6*Assumptions!B10</f>
        <v>-1798626207.2917418</v>
      </c>
      <c r="E11" s="18">
        <f>-E6*Assumptions!B10</f>
        <v>-1741636278.4585397</v>
      </c>
      <c r="F11" s="18">
        <f>-F6*Assumptions!B10</f>
        <v>-1686452090.0150013</v>
      </c>
    </row>
    <row r="12" spans="1:6" x14ac:dyDescent="0.25">
      <c r="A12" t="s">
        <v>48</v>
      </c>
      <c r="B12" s="18">
        <f>-(B6-Assumptions!B29)*Assumptions!B11</f>
        <v>-79380262.2868007</v>
      </c>
      <c r="C12" s="18">
        <f>-(C6-B6)*Assumptions!B11</f>
        <v>-76865078.48699547</v>
      </c>
      <c r="D12" s="18">
        <f>-(D6-C6)*Assumptions!B11</f>
        <v>-74429588.92558813</v>
      </c>
      <c r="E12" s="18">
        <f>-(E6-D6)*Assumptions!B11</f>
        <v>-72071268.47036685</v>
      </c>
      <c r="F12" s="18">
        <f>-(F6-E6)*Assumptions!B11</f>
        <v>-69787671.9985741</v>
      </c>
    </row>
    <row r="13" spans="1:6" x14ac:dyDescent="0.25">
      <c r="A13" s="19" t="s">
        <v>49</v>
      </c>
      <c r="B13" s="20">
        <f>B9+B10+B11+B12</f>
        <v>3878621165.7965155</v>
      </c>
      <c r="C13" s="20">
        <f>C9+C10+C11+C12</f>
        <v>3755726067.6857605</v>
      </c>
      <c r="D13" s="20">
        <f>D9+D10+D11+D12</f>
        <v>3636724932.015277</v>
      </c>
      <c r="E13" s="20">
        <f>E9+E10+E11+E12</f>
        <v>3521494377.594769</v>
      </c>
      <c r="F13" s="20">
        <f>F9+F10+F11+F12</f>
        <v>3409914932.59834</v>
      </c>
    </row>
    <row r="14" spans="1:6" x14ac:dyDescent="0.25">
      <c r="A14" t="s">
        <v>50</v>
      </c>
      <c r="B14" s="21">
        <f>1/(1+Assumptions!$B$26)^(1-0.5*Assumptions!$B$32)</f>
        <v>0.9624613144892252</v>
      </c>
      <c r="C14" s="21">
        <f>1/(1+Assumptions!$B$26)^(2-0.5*Assumptions!$B$32)</f>
        <v>0.8915585044493858</v>
      </c>
      <c r="D14" s="21">
        <f>1/(1+Assumptions!$B$26)^(3-0.5*Assumptions!$B$32)</f>
        <v>0.8258789780842917</v>
      </c>
      <c r="E14" s="21">
        <f>1/(1+Assumptions!$B$26)^(4-0.5*Assumptions!$B$32)</f>
        <v>0.7650379453929327</v>
      </c>
      <c r="F14" s="21">
        <f>1/(1+Assumptions!$B$26)^(5-0.5*Assumptions!$B$32)</f>
        <v>0.7086789631680203</v>
      </c>
    </row>
    <row r="15" spans="1:6" x14ac:dyDescent="0.25">
      <c r="A15" s="19" t="s">
        <v>51</v>
      </c>
      <c r="B15" s="20">
        <f>B13*B14</f>
        <v>3733022825.6382456</v>
      </c>
      <c r="C15" s="20">
        <f>C13*C14</f>
        <v>3348449516.027489</v>
      </c>
      <c r="D15" s="20">
        <f>D13*D14</f>
        <v>3003494670.426442</v>
      </c>
      <c r="E15" s="20">
        <f>E13*E14</f>
        <v>2694076823.3478665</v>
      </c>
      <c r="F15" s="20">
        <f>F13*F14</f>
        <v>2416534978.9249415</v>
      </c>
    </row>
    <row r="17" spans="1:2" x14ac:dyDescent="0.25">
      <c r="A17" s="22" t="s">
        <v>52</v>
      </c>
      <c r="B17" s="23">
        <f>SUM(B15:F15)</f>
        <v>15195578814.364986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3409914932.59834</v>
      </c>
    </row>
    <row r="5" spans="1:2" x14ac:dyDescent="0.25">
      <c r="A5" t="s">
        <v>56</v>
      </c>
      <c r="B5" s="18">
        <f>IF(Assumptions!$B$33=0,B4,B4-Forecast!F11-Forecast!F10-Forecast!F12)</f>
        <v>3082129991.5418468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0.2527754538921842</v>
      </c>
    </row>
    <row r="7" spans="1:2" x14ac:dyDescent="0.25">
      <c r="A7" t="s">
        <v>58</v>
      </c>
      <c r="B7" s="18">
        <f>-MAX(Forecast!F9,0)*B6</f>
        <v>-779086807.5667042</v>
      </c>
    </row>
    <row r="8" spans="1:2" x14ac:dyDescent="0.25">
      <c r="A8" t="s">
        <v>59</v>
      </c>
      <c r="B8" s="18">
        <f>IF(OR(Assumptions!$B$33=0,Assumptions!B12&lt;=0),B5,MAX(B5+B7,0))</f>
        <v>2303043183.9751425</v>
      </c>
    </row>
    <row r="9" spans="1:2" x14ac:dyDescent="0.25">
      <c r="A9" t="s">
        <v>60</v>
      </c>
      <c r="B9" s="18">
        <f>B8*(1+Assumptions!B12)/(Assumptions!B26-Assumptions!B12)</f>
        <v>43292812470.72257</v>
      </c>
    </row>
    <row r="10" spans="1:2" x14ac:dyDescent="0.25">
      <c r="A10" t="s">
        <v>61</v>
      </c>
      <c r="B10" s="18">
        <f>B9/(1+Assumptions!B26)^(5-0.5*Assumptions!B32)</f>
        <v>30680705454.37921</v>
      </c>
    </row>
    <row r="11" spans="1:2" x14ac:dyDescent="0.25">
      <c r="A11" t="s">
        <v>62</v>
      </c>
      <c r="B11" s="18">
        <f>Forecast!B17+B10</f>
        <v>45876284268.7442</v>
      </c>
    </row>
    <row r="12" spans="1:2" x14ac:dyDescent="0.25">
      <c r="A12" t="s">
        <v>63</v>
      </c>
      <c r="B12" s="18">
        <f>-Assumptions!B30</f>
        <v>-9997000000</v>
      </c>
    </row>
    <row r="13" spans="1:2" x14ac:dyDescent="0.25">
      <c r="A13" t="s">
        <v>64</v>
      </c>
      <c r="B13" s="18">
        <f>B11+B12</f>
        <v>35879284268.7442</v>
      </c>
    </row>
    <row r="14" spans="1:2" x14ac:dyDescent="0.25">
      <c r="A14" s="19" t="s">
        <v>65</v>
      </c>
      <c r="B14" s="24">
        <f>B13/Assumptions!B31</f>
        <v>71.99269685082935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6225895993.1347885</v>
      </c>
    </row>
    <row r="18" spans="1:2" x14ac:dyDescent="0.25">
      <c r="A18" t="s">
        <v>60</v>
      </c>
      <c r="B18" s="18">
        <f>B17*Assumptions!B13</f>
        <v>35957696779.11555</v>
      </c>
    </row>
    <row r="19" spans="1:2" x14ac:dyDescent="0.25">
      <c r="A19" t="s">
        <v>61</v>
      </c>
      <c r="B19" s="18">
        <f>B18/(1+Assumptions!B26)^(5-0.5*Assumptions!B32)</f>
        <v>25482463271.333668</v>
      </c>
    </row>
    <row r="20" spans="1:2" x14ac:dyDescent="0.25">
      <c r="A20" t="s">
        <v>62</v>
      </c>
      <c r="B20" s="18">
        <f>Forecast!B17+B19</f>
        <v>40678042085.698654</v>
      </c>
    </row>
    <row r="21" spans="1:2" x14ac:dyDescent="0.25">
      <c r="A21" t="s">
        <v>63</v>
      </c>
      <c r="B21" s="18">
        <f>-Assumptions!B30</f>
        <v>-9997000000</v>
      </c>
    </row>
    <row r="22" spans="1:2" x14ac:dyDescent="0.25">
      <c r="A22" t="s">
        <v>64</v>
      </c>
      <c r="B22" s="18">
        <f>B20+B21</f>
        <v>30681042085.698654</v>
      </c>
    </row>
    <row r="23" spans="1:2" x14ac:dyDescent="0.25">
      <c r="A23" s="19" t="s">
        <v>65</v>
      </c>
      <c r="B23" s="25">
        <f>B22/Assumptions!B31</f>
        <v>61.56229163878329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69.12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71.99269685082935</v>
      </c>
    </row>
    <row r="29" spans="1:2" x14ac:dyDescent="0.25">
      <c r="A29" s="19" t="s">
        <v>73</v>
      </c>
      <c r="B29" s="12">
        <f>B28/B26-1</f>
        <v>0.04156100767982274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0.059527</v>
      </c>
      <c r="B5" s="31">
        <v>103.96607473079563</v>
      </c>
      <c r="C5" s="31">
        <v>109.92019603899593</v>
      </c>
      <c r="D5" s="31">
        <v>117.52899324500785</v>
      </c>
      <c r="E5" s="31">
        <v>127.63305762011451</v>
      </c>
      <c r="F5" s="31">
        <v>141.75842200715925</v>
      </c>
    </row>
    <row r="6" spans="1:6" x14ac:dyDescent="0.25">
      <c r="A6" s="30">
        <v>0.069527</v>
      </c>
      <c r="B6" s="31">
        <v>83.25829007814716</v>
      </c>
      <c r="C6" s="31">
        <v>86.17723963312548</v>
      </c>
      <c r="D6" s="31">
        <v>89.69984629350984</v>
      </c>
      <c r="E6" s="31">
        <v>94.0551903482443</v>
      </c>
      <c r="F6" s="31">
        <v>99.60504840448412</v>
      </c>
    </row>
    <row r="7" spans="1:6" x14ac:dyDescent="0.25">
      <c r="A7" s="30">
        <v>0.079527</v>
      </c>
      <c r="B7" s="31">
        <v>68.91501206684569</v>
      </c>
      <c r="C7" s="31">
        <v>70.343087922689</v>
      </c>
      <c r="D7" s="32">
        <v>71.99243149608249</v>
      </c>
      <c r="E7" s="31">
        <v>73.9300570572879</v>
      </c>
      <c r="F7" s="31">
        <v>76.25307938648756</v>
      </c>
    </row>
    <row r="8" spans="1:6" x14ac:dyDescent="0.25">
      <c r="A8" s="30">
        <v>0.089527</v>
      </c>
      <c r="B8" s="31">
        <v>58.37676755722647</v>
      </c>
      <c r="C8" s="31">
        <v>59.00834886123987</v>
      </c>
      <c r="D8" s="31">
        <v>59.70486691945095</v>
      </c>
      <c r="E8" s="31">
        <v>60.482684916850786</v>
      </c>
      <c r="F8" s="31">
        <v>61.36416790355823</v>
      </c>
    </row>
    <row r="9" spans="1:6" x14ac:dyDescent="0.25">
      <c r="A9" s="30">
        <v>0.099527</v>
      </c>
      <c r="B9" s="31">
        <v>50.34128904382349</v>
      </c>
      <c r="C9" s="31">
        <v>50.54400977839411</v>
      </c>
      <c r="D9" s="31">
        <v>50.74673051296474</v>
      </c>
      <c r="E9" s="31">
        <v>50.94945124753541</v>
      </c>
      <c r="F9" s="31">
        <v>51.15217198210603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46483000000</v>
      </c>
      <c r="C5" s="18">
        <v>46571000000</v>
      </c>
      <c r="D5" s="18">
        <v>47944000000</v>
      </c>
      <c r="E5" s="18">
        <v>51197000000</v>
      </c>
      <c r="F5" s="8" t="s">
        <v>84</v>
      </c>
    </row>
    <row r="6" spans="1:6" x14ac:dyDescent="0.25">
      <c r="A6" t="s">
        <v>44</v>
      </c>
      <c r="B6" s="18">
        <v>4953000000</v>
      </c>
      <c r="C6" s="18">
        <v>4995000000</v>
      </c>
      <c r="D6" s="18">
        <v>4990000000</v>
      </c>
      <c r="E6" s="18">
        <v>5160000000</v>
      </c>
      <c r="F6" s="8" t="s">
        <v>85</v>
      </c>
    </row>
    <row r="7" spans="1:6" x14ac:dyDescent="0.25">
      <c r="A7" t="s">
        <v>86</v>
      </c>
      <c r="B7" s="18">
        <v>2627000000</v>
      </c>
      <c r="C7" s="18">
        <v>2631000000</v>
      </c>
      <c r="D7" s="18">
        <v>2395000000</v>
      </c>
      <c r="E7" s="18">
        <v>2442000000</v>
      </c>
      <c r="F7" s="8" t="s">
        <v>87</v>
      </c>
    </row>
    <row r="8" spans="1:6" x14ac:dyDescent="0.25">
      <c r="A8" t="s">
        <v>88</v>
      </c>
      <c r="B8" s="18">
        <v>2190000000</v>
      </c>
      <c r="C8" s="18">
        <v>2083000000</v>
      </c>
      <c r="D8" s="18">
        <v>1971000000</v>
      </c>
      <c r="E8" s="18">
        <v>1921000000</v>
      </c>
      <c r="F8" s="8" t="s">
        <v>89</v>
      </c>
    </row>
    <row r="9" spans="1:6" x14ac:dyDescent="0.25">
      <c r="A9" t="s">
        <v>90</v>
      </c>
      <c r="B9" s="18">
        <v>104000000</v>
      </c>
      <c r="C9" s="18">
        <v>74000000</v>
      </c>
      <c r="D9" s="18">
        <v>-492000000</v>
      </c>
      <c r="E9" s="18">
        <v>-145000000</v>
      </c>
      <c r="F9" s="8" t="s">
        <v>91</v>
      </c>
    </row>
    <row r="10" spans="1:6" x14ac:dyDescent="0.25">
      <c r="A10" t="s">
        <v>92</v>
      </c>
      <c r="B10" s="18">
        <v>17729000000</v>
      </c>
      <c r="C10" s="18">
        <v>17839000000</v>
      </c>
      <c r="D10" s="18">
        <v>15554000000</v>
      </c>
      <c r="E10" s="18">
        <v>14040000000</v>
      </c>
      <c r="F10" s="8" t="s">
        <v>93</v>
      </c>
    </row>
    <row r="11" spans="1:6" x14ac:dyDescent="0.25">
      <c r="A11" t="s">
        <v>94</v>
      </c>
      <c r="B11" s="18">
        <v>7732000000</v>
      </c>
      <c r="C11" s="18">
        <v>8460000000</v>
      </c>
      <c r="D11" s="18">
        <v>8602000000</v>
      </c>
      <c r="E11" s="18">
        <v>6134000000</v>
      </c>
      <c r="F11" s="8" t="s">
        <v>95</v>
      </c>
    </row>
    <row r="12" spans="1:6" x14ac:dyDescent="0.25">
      <c r="A12" t="s">
        <v>32</v>
      </c>
      <c r="B12" s="34">
        <v>498373944</v>
      </c>
      <c r="C12" s="34">
        <v>503934048</v>
      </c>
      <c r="D12" s="34">
        <v>510458619</v>
      </c>
      <c r="E12" s="34">
        <v>517595809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2026-09-19T01:06:38Z</dcterms:modified>
</cp:coreProperties>
</file>