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<sst xmlns="http://schemas.openxmlformats.org/spreadsheetml/2006/main" count="114" uniqueCount="102">
  <si>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Stockland (SGP.AX)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</si>
  <si>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</si>
  <si>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</si>
  <si>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</si>
  <si>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</si>
  <si>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</si>
  <si>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</si>
  <si>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</si>
  <si>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</si>
  <si>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</si>
  <si>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</si>
  <si>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</si>
  <si>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</si>
  <si>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</si>
  <si>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</si>
  <si>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</si>
  <si>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</si>
  <si>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</si>
  <si>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</si>
  <si>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</si>
  <si>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</si>
  <si>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</si>
  <si>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</si>
  <si>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</si>
  <si>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</si>
  <si>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</si>
  <si>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</si>
  <si>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</si>
  <si>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</si>
  <si>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</si>
  <si>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</si>
  <si>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</si>
  <si>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</si>
  <si>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</si>
  <si>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</si>
  <si>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</si>
  <si>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</si>
  <si>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</si>
  <si>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</si>
  <si>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</si>
  <si>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</si>
  <si>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</si>
  <si>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</si>
  <si>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</si>
  <si>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</si>
  <si>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</si>
  <si>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</si>
  <si>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</si>
  <si>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</si>
  <si>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</si>
  <si>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</si>
  <si>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</si>
  <si>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</si>
  <si>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</si>
  <si>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</si>
  <si>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</si>
  <si>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</si>
  <si>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</si>
  <si>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</si>
  <si>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</si>
  <si>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</si>
  <si>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</si>
  <si>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</si>
  <si>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</si>
  <si>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</si>
  <si>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</si>
  <si>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</si>
  <si>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</si>
  <si>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</si>
  <si>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</si>
  <si>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</si>
  <si>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</si>
  <si>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</si>
  <si>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</si>
  <si>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</si>
  <si>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</si>
  <si>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</si>
  <si>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</si>
  <si>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</si>
  <si>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</si>
  <si>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</si>
  <si>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</si>
  <si>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</si>
  <si>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</si>
  <si>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</si>
  <si>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</si>
  <si>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</si>
  <si>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</si>
  <si>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</si>
  <si>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</si>
  <si>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</si>
  <si>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</si>
  <si>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</si>
  <si>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</si>
  <si>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</si>
  <si>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</si>
  <si>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</si>
  <si>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</si>
  <si>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</si>
  <si>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0.34%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</si>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</sst>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0.0852391477022918</v>
      </c>
    </row>
    <row r="7" spans="1:2" x14ac:dyDescent="0.25">
      <c r="A7" t="s">
        <v>5</v>
      </c>
      <c r="B7" s="6">
        <v>0.23633967845370518</v>
      </c>
    </row>
    <row r="8" spans="1:2" x14ac:dyDescent="0.25">
      <c r="A8" t="s">
        <v>6</v>
      </c>
      <c r="B8" s="6">
        <v>0.08003109699171866</v>
      </c>
    </row>
    <row r="9" spans="1:2" x14ac:dyDescent="0.25">
      <c r="A9" t="s">
        <v>7</v>
      </c>
      <c r="B9" s="6">
        <v>0.005293115135397653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0.5829694323144105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18.793710412868634</v>
      </c>
    </row>
    <row r="14" spans="1:3" x14ac:dyDescent="0.25">
      <c r="A14" t="s">
        <v>12</v>
      </c>
      <c r="B14" s="6">
        <v>0.0907623956765333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0.96315</v>
      </c>
      <c r="C19" s="8" t="s">
        <v>19</v>
      </c>
    </row>
    <row r="20" spans="1:2" x14ac:dyDescent="0.25">
      <c r="A20" t="s">
        <v>20</v>
      </c>
      <c r="B20" s="10">
        <f>B17+B19*B18</f>
        <v>0.11126899999999999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9921107968</v>
      </c>
    </row>
    <row r="23" spans="1:2" x14ac:dyDescent="0.25">
      <c r="A23" t="s">
        <v>24</v>
      </c>
      <c r="B23" s="11">
        <v>4895000000</v>
      </c>
    </row>
    <row r="24" spans="1:2" x14ac:dyDescent="0.25">
      <c r="A24" t="s">
        <v>25</v>
      </c>
      <c r="B24" s="10">
        <f>B22/(B22+B23)</f>
        <v>0.6696163384761857</v>
      </c>
    </row>
    <row r="25" spans="1:2" x14ac:dyDescent="0.25">
      <c r="A25" t="s">
        <v>26</v>
      </c>
      <c r="B25" s="10">
        <f>1-B24</f>
        <v>0.33038366152381426</v>
      </c>
    </row>
    <row r="26" spans="1:2" x14ac:dyDescent="0.25">
      <c r="A26" t="s">
        <v>27</v>
      </c>
      <c r="B26" s="12">
        <f>B24*B20+B25*B21*(1-B8)</f>
        <v>0.0907623956765333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3589000000</v>
      </c>
      <c r="C29" s="8" t="s">
        <v>30</v>
      </c>
    </row>
    <row r="30" spans="1:2" x14ac:dyDescent="0.25">
      <c r="A30" t="s">
        <v>31</v>
      </c>
      <c r="B30" s="11">
        <v>4099000000</v>
      </c>
    </row>
    <row r="31" spans="1:2" x14ac:dyDescent="0.25">
      <c r="A31" t="s">
        <v>32</v>
      </c>
      <c r="B31" s="13">
        <v>2424390244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0.0852391477022918</v>
      </c>
      <c r="C5" s="10">
        <f>Assumptions!B6</f>
        <v>0.0852391477022918</v>
      </c>
      <c r="D5" s="10">
        <f>Assumptions!B6</f>
        <v>0.0852391477022918</v>
      </c>
      <c r="E5" s="10">
        <f>Assumptions!B6</f>
        <v>0.0852391477022918</v>
      </c>
      <c r="F5" s="10">
        <f>Assumptions!B6</f>
        <v>0.0852391477022918</v>
      </c>
    </row>
    <row r="6" spans="1:6" x14ac:dyDescent="0.25">
      <c r="A6" t="s">
        <v>43</v>
      </c>
      <c r="B6" s="18">
        <f>Assumptions!B29*(1+B5)</f>
        <v>3894923301.103525</v>
      </c>
      <c r="C6" s="18">
        <f>B6*(1+C5)</f>
        <v>4226923243.6553864</v>
      </c>
      <c r="D6" s="18">
        <f>C6*(1+D5)</f>
        <v>4587222578.347578</v>
      </c>
      <c r="E6" s="18">
        <f>D6*(1+E5)</f>
        <v>4978233521.246635</v>
      </c>
      <c r="F6" s="18">
        <f>E6*(1+F5)</f>
        <v>5402573903.660678</v>
      </c>
    </row>
    <row r="7" spans="1:6" x14ac:dyDescent="0.25">
      <c r="A7" t="s">
        <v>5</v>
      </c>
      <c r="B7" s="10">
        <f>Assumptions!B7</f>
        <v>0.23633967845370518</v>
      </c>
      <c r="C7" s="10">
        <f>Assumptions!B7</f>
        <v>0.23633967845370518</v>
      </c>
      <c r="D7" s="10">
        <f>Assumptions!B7</f>
        <v>0.23633967845370518</v>
      </c>
      <c r="E7" s="10">
        <f>Assumptions!B7</f>
        <v>0.23633967845370518</v>
      </c>
      <c r="F7" s="10">
        <f>Assumptions!B7</f>
        <v>0.23633967845370518</v>
      </c>
    </row>
    <row r="8" spans="1:6" x14ac:dyDescent="0.25">
      <c r="A8" t="s">
        <v>44</v>
      </c>
      <c r="B8" s="18">
        <f>B6*B7</f>
        <v>920524920.5846511</v>
      </c>
      <c r="C8" s="18">
        <f>C6*C7</f>
        <v>998989680.2540065</v>
      </c>
      <c r="D8" s="18">
        <f>D6*D7</f>
        <v>1084142709.1622431</v>
      </c>
      <c r="E8" s="18">
        <f>E6*E7</f>
        <v>1176554109.6788864</v>
      </c>
      <c r="F8" s="18">
        <f>F6*F7</f>
        <v>1276842579.2135434</v>
      </c>
    </row>
    <row r="9" spans="1:6" x14ac:dyDescent="0.25">
      <c r="A9" t="s">
        <v>45</v>
      </c>
      <c r="B9" s="18">
        <f>B8*(1-Assumptions!B8)</f>
        <v>846854301.3820468</v>
      </c>
      <c r="C9" s="18">
        <f>C8*(1-Assumptions!B8)</f>
        <v>919039440.2598722</v>
      </c>
      <c r="D9" s="18">
        <f>D8*(1-Assumptions!B8)</f>
        <v>997377578.8524151</v>
      </c>
      <c r="E9" s="18">
        <f>E8*(1-Assumptions!B8)</f>
        <v>1082393193.6111703</v>
      </c>
      <c r="F9" s="18">
        <f>F8*(1-Assumptions!B8)</f>
        <v>1174655466.9133482</v>
      </c>
    </row>
    <row r="10" spans="1:6" x14ac:dyDescent="0.25">
      <c r="A10" t="s">
        <v>46</v>
      </c>
      <c r="B10" s="18">
        <f>B6*Assumptions!B9</f>
        <v>20616277.47628406</v>
      </c>
      <c r="C10" s="18">
        <f>C6*Assumptions!B9</f>
        <v>22373591.39715647</v>
      </c>
      <c r="D10" s="18">
        <f>D6*Assumptions!B9</f>
        <v>24280697.258889414</v>
      </c>
      <c r="E10" s="18">
        <f>E6*Assumptions!B9</f>
        <v>26350363.19885452</v>
      </c>
      <c r="F10" s="18">
        <f>F6*Assumptions!B9</f>
        <v>28596445.69957072</v>
      </c>
    </row>
    <row r="11" spans="1:6" x14ac:dyDescent="0.25">
      <c r="A11" t="s">
        <v>47</v>
      </c>
      <c r="B11" s="18">
        <f>-B6*Assumptions!B10</f>
        <v>-38949233.011035256</v>
      </c>
      <c r="C11" s="18">
        <f>-C6*Assumptions!B10</f>
        <v>-42269232.436553866</v>
      </c>
      <c r="D11" s="18">
        <f>-D6*Assumptions!B10</f>
        <v>-45872225.78347578</v>
      </c>
      <c r="E11" s="18">
        <f>-E6*Assumptions!B10</f>
        <v>-49782335.21246635</v>
      </c>
      <c r="F11" s="18">
        <f>-F6*Assumptions!B10</f>
        <v>-54025739.03660678</v>
      </c>
    </row>
    <row r="12" spans="1:6" x14ac:dyDescent="0.25">
      <c r="A12" t="s">
        <v>48</v>
      </c>
      <c r="B12" s="18">
        <f>-(B6-Assumptions!B29)*Assumptions!B11</f>
        <v>-178343933.1760725</v>
      </c>
      <c r="C12" s="18">
        <f>-(C6-B6)*Assumptions!B11</f>
        <v>-193545818.03787544</v>
      </c>
      <c r="D12" s="18">
        <f>-(D6-C6)*Assumptions!B11</f>
        <v>-210043498.6087667</v>
      </c>
      <c r="E12" s="18">
        <f>-(E6-D6)*Assumptions!B11</f>
        <v>-227947427.41058585</v>
      </c>
      <c r="F12" s="18">
        <f>-(F6-E6)*Assumptions!B11</f>
        <v>-247377471.84399417</v>
      </c>
    </row>
    <row r="13" spans="1:6" x14ac:dyDescent="0.25">
      <c r="A13" s="19" t="s">
        <v>49</v>
      </c>
      <c r="B13" s="20">
        <f>B9+B10+B11+B12</f>
        <v>650177412.6712232</v>
      </c>
      <c r="C13" s="20">
        <f>C9+C10+C11+C12</f>
        <v>705597981.1825994</v>
      </c>
      <c r="D13" s="20">
        <f>D9+D10+D11+D12</f>
        <v>765742551.7190621</v>
      </c>
      <c r="E13" s="20">
        <f>E9+E10+E11+E12</f>
        <v>831013794.1869725</v>
      </c>
      <c r="F13" s="20">
        <f>F9+F10+F11+F12</f>
        <v>901848701.7323179</v>
      </c>
    </row>
    <row r="14" spans="1:6" x14ac:dyDescent="0.25">
      <c r="A14" t="s">
        <v>50</v>
      </c>
      <c r="B14" s="21">
        <f>1/(1+Assumptions!$B$26)^(1-0.5*Assumptions!$B$32)</f>
        <v>0.9574914871623704</v>
      </c>
      <c r="C14" s="21">
        <f>1/(1+Assumptions!$B$26)^(2-0.5*Assumptions!$B$32)</f>
        <v>0.8778185707149327</v>
      </c>
      <c r="D14" s="21">
        <f>1/(1+Assumptions!$B$26)^(3-0.5*Assumptions!$B$32)</f>
        <v>0.8047752417890016</v>
      </c>
      <c r="E14" s="21">
        <f>1/(1+Assumptions!$B$26)^(4-0.5*Assumptions!$B$32)</f>
        <v>0.737809852062097</v>
      </c>
      <c r="F14" s="21">
        <f>1/(1+Assumptions!$B$26)^(5-0.5*Assumptions!$B$32)</f>
        <v>0.6764166558973448</v>
      </c>
    </row>
    <row r="15" spans="1:6" x14ac:dyDescent="0.25">
      <c r="A15" s="19" t="s">
        <v>51</v>
      </c>
      <c r="B15" s="20">
        <f>B13*B14</f>
        <v>622539337.7779517</v>
      </c>
      <c r="C15" s="20">
        <f>C13*C14</f>
        <v>619387011.3410515</v>
      </c>
      <c r="D15" s="20">
        <f>D13*D14</f>
        <v>616250647.2078353</v>
      </c>
      <c r="E15" s="20">
        <f>E13*E14</f>
        <v>613130164.5506521</v>
      </c>
      <c r="F15" s="20">
        <f>F13*F14</f>
        <v>610025482.9511365</v>
      </c>
    </row>
    <row r="17" spans="1:2" x14ac:dyDescent="0.25">
      <c r="A17" s="22" t="s">
        <v>52</v>
      </c>
      <c r="B17" s="23">
        <f>SUM(B15:F15)</f>
        <v>3081332643.828627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901848701.7323179</v>
      </c>
    </row>
    <row r="5" spans="1:2" x14ac:dyDescent="0.25">
      <c r="A5" t="s">
        <v>56</v>
      </c>
      <c r="B5" s="18">
        <f>IF(Assumptions!$B$33=0,B4,B4-Forecast!F11-Forecast!F10-Forecast!F12)</f>
        <v>1174655466.9133482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0.27544447029689606</v>
      </c>
    </row>
    <row r="7" spans="1:2" x14ac:dyDescent="0.25">
      <c r="A7" t="s">
        <v>58</v>
      </c>
      <c r="B7" s="18">
        <f>-MAX(Forecast!F9,0)*B6</f>
        <v>-323552352.8653003</v>
      </c>
    </row>
    <row r="8" spans="1:2" x14ac:dyDescent="0.25">
      <c r="A8" t="s">
        <v>59</v>
      </c>
      <c r="B8" s="18">
        <f>IF(OR(Assumptions!$B$33=0,Assumptions!B12&lt;=0),B5,MAX(B5+B7,0))</f>
        <v>851103114.0480479</v>
      </c>
    </row>
    <row r="9" spans="1:2" x14ac:dyDescent="0.25">
      <c r="A9" t="s">
        <v>60</v>
      </c>
      <c r="B9" s="18">
        <f>B8*(1+Assumptions!B12)/(Assumptions!B26-Assumptions!B12)</f>
        <v>13265646467.477308</v>
      </c>
    </row>
    <row r="10" spans="1:2" x14ac:dyDescent="0.25">
      <c r="A10" t="s">
        <v>61</v>
      </c>
      <c r="B10" s="18">
        <f>B9/(1+Assumptions!B26)^(5-0.5*Assumptions!B32)</f>
        <v>8973104221.847425</v>
      </c>
    </row>
    <row r="11" spans="1:2" x14ac:dyDescent="0.25">
      <c r="A11" t="s">
        <v>62</v>
      </c>
      <c r="B11" s="18">
        <f>Forecast!B17+B10</f>
        <v>12054436865.676052</v>
      </c>
    </row>
    <row r="12" spans="1:2" x14ac:dyDescent="0.25">
      <c r="A12" t="s">
        <v>63</v>
      </c>
      <c r="B12" s="18">
        <f>-Assumptions!B30</f>
        <v>-4099000000</v>
      </c>
    </row>
    <row r="13" spans="1:2" x14ac:dyDescent="0.25">
      <c r="A13" t="s">
        <v>64</v>
      </c>
      <c r="B13" s="18">
        <f>B11+B12</f>
        <v>7955436865.676052</v>
      </c>
    </row>
    <row r="14" spans="1:2" x14ac:dyDescent="0.25">
      <c r="A14" s="19" t="s">
        <v>65</v>
      </c>
      <c r="B14" s="24">
        <f>B13/Assumptions!B31</f>
        <v>3.281417620519039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1305439024.913114</v>
      </c>
    </row>
    <row r="18" spans="1:2" x14ac:dyDescent="0.25">
      <c r="A18" t="s">
        <v>60</v>
      </c>
      <c r="B18" s="18">
        <f>B17*Assumptions!B13</f>
        <v>24534042995.87467</v>
      </c>
    </row>
    <row r="19" spans="1:2" x14ac:dyDescent="0.25">
      <c r="A19" t="s">
        <v>61</v>
      </c>
      <c r="B19" s="18">
        <f>B18/(1+Assumptions!B26)^(5-0.5*Assumptions!B32)</f>
        <v>16595235318.911217</v>
      </c>
    </row>
    <row r="20" spans="1:2" x14ac:dyDescent="0.25">
      <c r="A20" t="s">
        <v>62</v>
      </c>
      <c r="B20" s="18">
        <f>Forecast!B17+B19</f>
        <v>19676567962.739845</v>
      </c>
    </row>
    <row r="21" spans="1:2" x14ac:dyDescent="0.25">
      <c r="A21" t="s">
        <v>63</v>
      </c>
      <c r="B21" s="18">
        <f>-Assumptions!B30</f>
        <v>-4099000000</v>
      </c>
    </row>
    <row r="22" spans="1:2" x14ac:dyDescent="0.25">
      <c r="A22" t="s">
        <v>64</v>
      </c>
      <c r="B22" s="18">
        <f>B20+B21</f>
        <v>15577567962.739845</v>
      </c>
    </row>
    <row r="23" spans="1:2" x14ac:dyDescent="0.25">
      <c r="A23" s="19" t="s">
        <v>65</v>
      </c>
      <c r="B23" s="25">
        <f>B22/Assumptions!B31</f>
        <v>6.42535499443292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3.281417620519039</v>
      </c>
    </row>
    <row r="29" spans="1:2" x14ac:dyDescent="0.25">
      <c r="A29" s="19" t="s">
        <v>73</v>
      </c>
      <c r="B29" s="12">
        <f>B28/B26-1</f>
        <v>-0.19573097536298067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0.070762</v>
      </c>
      <c r="B5" s="31">
        <v>4.749859987615079</v>
      </c>
      <c r="C5" s="31">
        <v>4.775028619318071</v>
      </c>
      <c r="D5" s="31">
        <v>4.800197251021063</v>
      </c>
      <c r="E5" s="31">
        <v>4.825365882724055</v>
      </c>
      <c r="F5" s="31">
        <v>4.850534514427047</v>
      </c>
    </row>
    <row r="6" spans="1:6" x14ac:dyDescent="0.25">
      <c r="A6" s="30">
        <v>0.080762</v>
      </c>
      <c r="B6" s="31">
        <v>3.9030372287470056</v>
      </c>
      <c r="C6" s="31">
        <v>3.92418602324053</v>
      </c>
      <c r="D6" s="31">
        <v>3.945334817734053</v>
      </c>
      <c r="E6" s="31">
        <v>3.9664836122275773</v>
      </c>
      <c r="F6" s="31">
        <v>3.987632406721098</v>
      </c>
    </row>
    <row r="7" spans="1:6" x14ac:dyDescent="0.25">
      <c r="A7" s="30">
        <v>0.090762</v>
      </c>
      <c r="B7" s="31">
        <v>3.2453316578440625</v>
      </c>
      <c r="C7" s="31">
        <v>3.26338630168176</v>
      </c>
      <c r="D7" s="32">
        <v>3.281440945519458</v>
      </c>
      <c r="E7" s="31">
        <v>3.2994955893571527</v>
      </c>
      <c r="F7" s="31">
        <v>3.317550233194849</v>
      </c>
    </row>
    <row r="8" spans="1:6" x14ac:dyDescent="0.25">
      <c r="A8" s="30">
        <v>0.100762</v>
      </c>
      <c r="B8" s="31">
        <v>2.7203107631297643</v>
      </c>
      <c r="C8" s="31">
        <v>2.735919248904772</v>
      </c>
      <c r="D8" s="31">
        <v>2.7515277346797795</v>
      </c>
      <c r="E8" s="31">
        <v>2.767136220454788</v>
      </c>
      <c r="F8" s="31">
        <v>2.7827447062297948</v>
      </c>
    </row>
    <row r="9" spans="1:6" x14ac:dyDescent="0.25">
      <c r="A9" s="30">
        <v>0.110762</v>
      </c>
      <c r="B9" s="31">
        <v>2.291929161826574</v>
      </c>
      <c r="C9" s="31">
        <v>2.305562199340203</v>
      </c>
      <c r="D9" s="31">
        <v>2.31919523685383</v>
      </c>
      <c r="E9" s="31">
        <v>2.332828274367459</v>
      </c>
      <c r="F9" s="31">
        <v>2.346461311881087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3589000000</v>
      </c>
      <c r="C5" s="18">
        <v>3131000000</v>
      </c>
      <c r="D5" s="18">
        <v>2989000000</v>
      </c>
      <c r="E5" s="18">
        <v>2808000000</v>
      </c>
      <c r="F5" s="8" t="s">
        <v>84</v>
      </c>
    </row>
    <row r="6" spans="1:6" x14ac:dyDescent="0.25">
      <c r="A6" t="s">
        <v>44</v>
      </c>
      <c r="B6" s="18">
        <v>727000000</v>
      </c>
      <c r="C6" s="18">
        <v>734000000</v>
      </c>
      <c r="D6" s="18">
        <v>702000000</v>
      </c>
      <c r="E6" s="18">
        <v>768000000</v>
      </c>
      <c r="F6" s="8" t="s">
        <v>85</v>
      </c>
    </row>
    <row r="7" spans="1:6" x14ac:dyDescent="0.25">
      <c r="A7" t="s">
        <v>86</v>
      </c>
      <c r="B7" s="18">
        <v>19000000</v>
      </c>
      <c r="C7" s="18">
        <v>14000000</v>
      </c>
      <c r="D7" s="18">
        <v>16000000</v>
      </c>
      <c r="E7" s="18">
        <v>17000000</v>
      </c>
      <c r="F7" s="8" t="s">
        <v>87</v>
      </c>
    </row>
    <row r="8" spans="1:6" x14ac:dyDescent="0.25">
      <c r="A8" t="s">
        <v>88</v>
      </c>
      <c r="B8" s="18">
        <v>11000000</v>
      </c>
      <c r="C8" s="18">
        <v>3000000</v>
      </c>
      <c r="D8" s="18">
        <v>4000000</v>
      </c>
      <c r="E8" s="18">
        <v>23000000</v>
      </c>
      <c r="F8" s="8" t="s">
        <v>89</v>
      </c>
    </row>
    <row r="9" spans="1:6" x14ac:dyDescent="0.25">
      <c r="A9" t="s">
        <v>90</v>
      </c>
      <c r="B9" s="18">
        <v>267000000</v>
      </c>
      <c r="C9" s="18">
        <v>8000000</v>
      </c>
      <c r="D9" s="18">
        <v>194000000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4895000000</v>
      </c>
      <c r="C10" s="18">
        <v>5179000000</v>
      </c>
      <c r="D10" s="18">
        <v>4730000000</v>
      </c>
      <c r="E10" s="18">
        <v>3907000000</v>
      </c>
      <c r="F10" s="8" t="s">
        <v>93</v>
      </c>
    </row>
    <row r="11" spans="1:6" x14ac:dyDescent="0.25">
      <c r="A11" t="s">
        <v>94</v>
      </c>
      <c r="B11" s="18">
        <v>796000000</v>
      </c>
      <c r="C11" s="18">
        <v>647000000</v>
      </c>
      <c r="D11" s="18">
        <v>719000000</v>
      </c>
      <c r="E11" s="18">
        <v>271000000</v>
      </c>
      <c r="F11" s="8" t="s">
        <v>95</v>
      </c>
    </row>
    <row r="12" spans="1:6" x14ac:dyDescent="0.25">
      <c r="A12" t="s">
        <v>32</v>
      </c>
      <c r="B12" s="34">
        <v>2424390244</v>
      </c>
      <c r="C12" s="34">
        <v>2408163265</v>
      </c>
      <c r="D12" s="34">
        <v>2401574803</v>
      </c>
      <c r="E12" s="34">
        <v>2400436443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