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<sst xmlns="http://schemas.openxmlformats.org/spreadsheetml/2006/main" count="116" uniqueCount="104">
  <si>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SEGRO Plc (SGRO.L)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</si>
  <si>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</si>
  <si>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</si>
  <si>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</si>
  <si>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</si>
  <si>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</si>
  <si>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</si>
  <si>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</si>
  <si>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</si>
  <si>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</si>
  <si>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</si>
  <si>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</si>
  <si>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</si>
  <si>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</si>
  <si>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</si>
  <si>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</si>
  <si>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</si>
  <si>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</si>
  <si>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</si>
  <si>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</si>
  <si>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</si>
  <si>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</si>
  <si>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</si>
  <si>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</si>
  <si>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</si>
  <si>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</si>
  <si>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</si>
  <si>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</si>
  <si>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</si>
  <si>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</si>
  <si>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</si>
  <si>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</si>
  <si>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</si>
  <si>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</si>
  <si>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</si>
  <si>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</si>
  <si>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</si>
  <si>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</si>
  <si>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</si>
  <si>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</si>
  <si>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</si>
  <si>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</si>
  <si>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</si>
  <si>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</si>
  <si>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</si>
  <si>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</si>
  <si>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</si>
  <si>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</si>
  <si>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</si>
  <si>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</si>
  <si>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</si>
  <si>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</si>
  <si>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</si>
  <si>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</si>
  <si>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</si>
  <si>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</si>
  <si>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</si>
  <si>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</si>
  <si>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</si>
  <si>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</si>
  <si>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</si>
  <si>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</si>
  <si>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</si>
  <si>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</si>
  <si>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</si>
  <si>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</si>
  <si>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</si>
  <si>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</si>
  <si>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</si>
  <si>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</si>
  <si>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</si>
  <si>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</si>
  <si>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</si>
  <si>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</si>
  <si>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</si>
  <si>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</si>
  <si>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</si>
  <si>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</si>
  <si>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</si>
  <si>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</si>
  <si>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</si>
  <si>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</si>
  <si>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</si>
  <si>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</si>
  <si>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</si>
  <si>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</si>
  <si>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</si>
  <si>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</si>
  <si>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</si>
  <si>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</si>
  <si>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</si>
  <si>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</si>
  <si>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</si>
  <si>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</si>
  <si>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</si>
  <si>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</si>
  <si>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</si>
  <si>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</si>
  <si>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model values the shares at 6.6%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</si>
  <si>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Consensus rests on as few as 2 analyst estimate(s).</t>
  </si>
  <si>
    <t>Adjusted: Capital expenditure runs at 3.2% of revenue against depreciation of 1.4%.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</si>
  <si>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</si>
  <si>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Current EV/EBITDA of 35.3x sits outside a defensible 3-20x band, so the exit multiple is capped at 20.0x.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</si>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</sst>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0.027630141983266965</v>
      </c>
    </row>
    <row r="7" spans="1:2" x14ac:dyDescent="0.25">
      <c r="A7" t="s">
        <v>5</v>
      </c>
      <c r="B7" s="6">
        <v>0.6691715632473849</v>
      </c>
    </row>
    <row r="8" spans="1:2" x14ac:dyDescent="0.25">
      <c r="A8" t="s">
        <v>6</v>
      </c>
      <c r="B8" s="6">
        <v>0.041054582210242586</v>
      </c>
    </row>
    <row r="9" spans="1:2" x14ac:dyDescent="0.25">
      <c r="A9" t="s">
        <v>7</v>
      </c>
      <c r="B9" s="6">
        <v>0.013795877472683673</v>
      </c>
    </row>
    <row r="10" spans="1:2" x14ac:dyDescent="0.25">
      <c r="A10" t="s">
        <v>8</v>
      </c>
      <c r="B10" s="6">
        <v>0.031917916247442175</v>
      </c>
    </row>
    <row r="11" spans="1:2" x14ac:dyDescent="0.25">
      <c r="A11" t="s">
        <v>9</v>
      </c>
      <c r="B11" s="6">
        <v>-0.17567567567567569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0.08610950743560236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1.09246</v>
      </c>
      <c r="C19" s="8" t="s">
        <v>19</v>
      </c>
    </row>
    <row r="20" spans="1:2" x14ac:dyDescent="0.25">
      <c r="A20" t="s">
        <v>20</v>
      </c>
      <c r="B20" s="10">
        <f>B17+B19*B18</f>
        <v>0.10508529999999999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12674887680</v>
      </c>
    </row>
    <row r="23" spans="1:2" x14ac:dyDescent="0.25">
      <c r="A23" t="s">
        <v>24</v>
      </c>
      <c r="B23" s="11">
        <v>5599000000</v>
      </c>
    </row>
    <row r="24" spans="1:2" x14ac:dyDescent="0.25">
      <c r="A24" t="s">
        <v>25</v>
      </c>
      <c r="B24" s="10">
        <f>B22/(B22+B23)</f>
        <v>0.6936065221563187</v>
      </c>
    </row>
    <row r="25" spans="1:2" x14ac:dyDescent="0.25">
      <c r="A25" t="s">
        <v>26</v>
      </c>
      <c r="B25" s="10">
        <f>1-B24</f>
        <v>0.3063934778436813</v>
      </c>
    </row>
    <row r="26" spans="1:2" x14ac:dyDescent="0.25">
      <c r="A26" t="s">
        <v>27</v>
      </c>
      <c r="B26" s="12">
        <f>B24*B20+B25*B21*(1-B8)</f>
        <v>0.08610950743560236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726000000</v>
      </c>
      <c r="C29" s="8" t="s">
        <v>30</v>
      </c>
    </row>
    <row r="30" spans="1:2" x14ac:dyDescent="0.25">
      <c r="A30" t="s">
        <v>31</v>
      </c>
      <c r="B30" s="11">
        <v>5562000000</v>
      </c>
    </row>
    <row r="31" spans="1:2" x14ac:dyDescent="0.25">
      <c r="A31" t="s">
        <v>32</v>
      </c>
      <c r="B31" s="13">
        <v>1352361990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0.027630141983266965</v>
      </c>
      <c r="C5" s="10">
        <f>Assumptions!B6</f>
        <v>0.027630141983266965</v>
      </c>
      <c r="D5" s="10">
        <f>Assumptions!B6</f>
        <v>0.027630141983266965</v>
      </c>
      <c r="E5" s="10">
        <f>Assumptions!B6</f>
        <v>0.027630141983266965</v>
      </c>
      <c r="F5" s="10">
        <f>Assumptions!B6</f>
        <v>0.027630141983266965</v>
      </c>
    </row>
    <row r="6" spans="1:6" x14ac:dyDescent="0.25">
      <c r="A6" t="s">
        <v>43</v>
      </c>
      <c r="B6" s="18">
        <f>Assumptions!B29*(1+B5)</f>
        <v>746059483.0798519</v>
      </c>
      <c r="C6" s="18">
        <f>B6*(1+C5)</f>
        <v>766673212.5253109</v>
      </c>
      <c r="D6" s="18">
        <f>C6*(1+D5)</f>
        <v>787856502.2421526</v>
      </c>
      <c r="E6" s="18">
        <f>D6*(1+E5)</f>
        <v>809625089.2615434</v>
      </c>
      <c r="F6" s="18">
        <f>E6*(1+F5)</f>
        <v>831995145.4310551</v>
      </c>
    </row>
    <row r="7" spans="1:6" x14ac:dyDescent="0.25">
      <c r="A7" t="s">
        <v>5</v>
      </c>
      <c r="B7" s="10">
        <f>Assumptions!B7</f>
        <v>0.6691715632473849</v>
      </c>
      <c r="C7" s="10">
        <f>Assumptions!B7</f>
        <v>0.6691715632473849</v>
      </c>
      <c r="D7" s="10">
        <f>Assumptions!B7</f>
        <v>0.6691715632473849</v>
      </c>
      <c r="E7" s="10">
        <f>Assumptions!B7</f>
        <v>0.6691715632473849</v>
      </c>
      <c r="F7" s="10">
        <f>Assumptions!B7</f>
        <v>0.6691715632473849</v>
      </c>
    </row>
    <row r="8" spans="1:6" x14ac:dyDescent="0.25">
      <c r="A8" t="s">
        <v>44</v>
      </c>
      <c r="B8" s="18">
        <f>B6*B7</f>
        <v>499241790.56808037</v>
      </c>
      <c r="C8" s="18">
        <f>C6*C7</f>
        <v>513035912.12545687</v>
      </c>
      <c r="D8" s="18">
        <f>D6*D7</f>
        <v>527211167.21999806</v>
      </c>
      <c r="E8" s="18">
        <f>E6*E7</f>
        <v>541778086.6254505</v>
      </c>
      <c r="F8" s="18">
        <f>F6*F7</f>
        <v>556747492.0823345</v>
      </c>
    </row>
    <row r="9" spans="1:6" x14ac:dyDescent="0.25">
      <c r="A9" t="s">
        <v>45</v>
      </c>
      <c r="B9" s="18">
        <f>B8*(1-Assumptions!B8)</f>
        <v>478745627.4344144</v>
      </c>
      <c r="C9" s="18">
        <f>C8*(1-Assumptions!B8)</f>
        <v>491973437.0942955</v>
      </c>
      <c r="D9" s="18">
        <f>D8*(1-Assumptions!B8)</f>
        <v>505566733.01320666</v>
      </c>
      <c r="E9" s="18">
        <f>E8*(1-Assumptions!B8)</f>
        <v>519535613.628378</v>
      </c>
      <c r="F9" s="18">
        <f>F8*(1-Assumptions!B8)</f>
        <v>533890456.3982939</v>
      </c>
    </row>
    <row r="10" spans="1:6" x14ac:dyDescent="0.25">
      <c r="A10" t="s">
        <v>46</v>
      </c>
      <c r="B10" s="18">
        <f>B6*Assumptions!B9</f>
        <v>10292545.215903355</v>
      </c>
      <c r="C10" s="18">
        <f>C6*Assumptions!B9</f>
        <v>10576929.701587958</v>
      </c>
      <c r="D10" s="18">
        <f>D6*Assumptions!B9</f>
        <v>10869171.770989867</v>
      </c>
      <c r="E10" s="18">
        <f>E6*Assumptions!B9</f>
        <v>11169488.530262835</v>
      </c>
      <c r="F10" s="18">
        <f>F6*Assumptions!B9</f>
        <v>11478103.084234469</v>
      </c>
    </row>
    <row r="11" spans="1:6" x14ac:dyDescent="0.25">
      <c r="A11" t="s">
        <v>47</v>
      </c>
      <c r="B11" s="18">
        <f>-B6*Assumptions!B10</f>
        <v>-23812664.096552715</v>
      </c>
      <c r="C11" s="18">
        <f>-C6*Assumptions!B10</f>
        <v>-24470611.38654031</v>
      </c>
      <c r="D11" s="18">
        <f>-D6*Assumptions!B10</f>
        <v>-25146737.853567764</v>
      </c>
      <c r="E11" s="18">
        <f>-E6*Assumptions!B10</f>
        <v>-25841545.790877838</v>
      </c>
      <c r="F11" s="18">
        <f>-F6*Assumptions!B10</f>
        <v>-26555551.37014689</v>
      </c>
    </row>
    <row r="12" spans="1:6" x14ac:dyDescent="0.25">
      <c r="A12" t="s">
        <v>48</v>
      </c>
      <c r="B12" s="18">
        <f>-(B6-Assumptions!B29)*Assumptions!B11</f>
        <v>3523963.2437577606</v>
      </c>
      <c r="C12" s="18">
        <f>-(C6-B6)*Assumptions!B11</f>
        <v>3621330.8485265826</v>
      </c>
      <c r="D12" s="18">
        <f>-(D6-C6)*Assumptions!B11</f>
        <v>3721388.734039758</v>
      </c>
      <c r="E12" s="18">
        <f>-(E6-D6)*Assumptions!B11</f>
        <v>3824211.2331362255</v>
      </c>
      <c r="F12" s="18">
        <f>-(F6-E6)*Assumptions!B11</f>
        <v>3929874.732481781</v>
      </c>
    </row>
    <row r="13" spans="1:6" x14ac:dyDescent="0.25">
      <c r="A13" s="19" t="s">
        <v>49</v>
      </c>
      <c r="B13" s="20">
        <f>B9+B10+B11+B12</f>
        <v>468749471.7975228</v>
      </c>
      <c r="C13" s="20">
        <f>C9+C10+C11+C12</f>
        <v>481701086.2578698</v>
      </c>
      <c r="D13" s="20">
        <f>D9+D10+D11+D12</f>
        <v>495010555.66466856</v>
      </c>
      <c r="E13" s="20">
        <f>E9+E10+E11+E12</f>
        <v>508687767.6008992</v>
      </c>
      <c r="F13" s="20">
        <f>F9+F10+F11+F12</f>
        <v>522742882.84486324</v>
      </c>
    </row>
    <row r="14" spans="1:6" x14ac:dyDescent="0.25">
      <c r="A14" t="s">
        <v>50</v>
      </c>
      <c r="B14" s="21">
        <f>1/(1+Assumptions!$B$26)^(1-0.5*Assumptions!$B$32)</f>
        <v>0.9595402399059811</v>
      </c>
      <c r="C14" s="21">
        <f>1/(1+Assumptions!$B$26)^(2-0.5*Assumptions!$B$32)</f>
        <v>0.8834654639673837</v>
      </c>
      <c r="D14" s="21">
        <f>1/(1+Assumptions!$B$26)^(3-0.5*Assumptions!$B$32)</f>
        <v>0.8134220885823212</v>
      </c>
      <c r="E14" s="21">
        <f>1/(1+Assumptions!$B$26)^(4-0.5*Assumptions!$B$32)</f>
        <v>0.7489319290675214</v>
      </c>
      <c r="F14" s="21">
        <f>1/(1+Assumptions!$B$26)^(5-0.5*Assumptions!$B$32)</f>
        <v>0.6895547124302538</v>
      </c>
    </row>
    <row r="15" spans="1:6" x14ac:dyDescent="0.25">
      <c r="A15" s="19" t="s">
        <v>51</v>
      </c>
      <c r="B15" s="20">
        <f>B13*B14</f>
        <v>449783980.624397</v>
      </c>
      <c r="C15" s="20">
        <f>C13*C14</f>
        <v>425566273.66440165</v>
      </c>
      <c r="D15" s="20">
        <f>D13*D14</f>
        <v>402652520.0590501</v>
      </c>
      <c r="E15" s="20">
        <f>E13*E14</f>
        <v>380972511.08239245</v>
      </c>
      <c r="F15" s="20">
        <f>F13*F14</f>
        <v>360459818.2550515</v>
      </c>
    </row>
    <row r="17" spans="1:2" x14ac:dyDescent="0.25">
      <c r="A17" s="22" t="s">
        <v>52</v>
      </c>
      <c r="B17" s="23">
        <f>SUM(B15:F15)</f>
        <v>2019435103.6852927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522742882.84486324</v>
      </c>
    </row>
    <row r="5" spans="1:2" x14ac:dyDescent="0.25">
      <c r="A5" t="s">
        <v>56</v>
      </c>
      <c r="B5" s="18">
        <f>IF(Assumptions!$B$33=0,B4,B4-Forecast!F11-Forecast!F10-Forecast!F12)</f>
        <v>533890456.3982939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0.2903279875186423</v>
      </c>
    </row>
    <row r="7" spans="1:2" x14ac:dyDescent="0.25">
      <c r="A7" t="s">
        <v>58</v>
      </c>
      <c r="B7" s="18">
        <f>-MAX(Forecast!F9,0)*B6</f>
        <v>-155003341.7615261</v>
      </c>
    </row>
    <row r="8" spans="1:2" x14ac:dyDescent="0.25">
      <c r="A8" t="s">
        <v>59</v>
      </c>
      <c r="B8" s="18">
        <f>IF(OR(Assumptions!$B$33=0,Assumptions!B12&lt;=0),B5,MAX(B5+B7,0))</f>
        <v>378887114.6367678</v>
      </c>
    </row>
    <row r="9" spans="1:2" x14ac:dyDescent="0.25">
      <c r="A9" t="s">
        <v>60</v>
      </c>
      <c r="B9" s="18">
        <f>B8*(1+Assumptions!B12)/(Assumptions!B26-Assumptions!B12)</f>
        <v>6355137012.222571</v>
      </c>
    </row>
    <row r="10" spans="1:2" x14ac:dyDescent="0.25">
      <c r="A10" t="s">
        <v>61</v>
      </c>
      <c r="B10" s="18">
        <f>B9/(1+Assumptions!B26)^(5-0.5*Assumptions!B32)</f>
        <v>4382214674.917997</v>
      </c>
    </row>
    <row r="11" spans="1:2" x14ac:dyDescent="0.25">
      <c r="A11" t="s">
        <v>62</v>
      </c>
      <c r="B11" s="18">
        <f>Forecast!B17+B10</f>
        <v>6401649778.603291</v>
      </c>
    </row>
    <row r="12" spans="1:2" x14ac:dyDescent="0.25">
      <c r="A12" t="s">
        <v>63</v>
      </c>
      <c r="B12" s="18">
        <f>-Assumptions!B30</f>
        <v>-5562000000</v>
      </c>
    </row>
    <row r="13" spans="1:2" x14ac:dyDescent="0.25">
      <c r="A13" t="s">
        <v>64</v>
      </c>
      <c r="B13" s="18">
        <f>B11+B12</f>
        <v>839649778.6032906</v>
      </c>
    </row>
    <row r="14" spans="1:2" x14ac:dyDescent="0.25">
      <c r="A14" s="19" t="s">
        <v>65</v>
      </c>
      <c r="B14" s="24">
        <f>B13/Assumptions!B31</f>
        <v>0.6208764996443671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568225595.166569</v>
      </c>
    </row>
    <row r="18" spans="1:2" x14ac:dyDescent="0.25">
      <c r="A18" t="s">
        <v>60</v>
      </c>
      <c r="B18" s="18">
        <f>B17*Assumptions!B13</f>
        <v>11364511903.331379</v>
      </c>
    </row>
    <row r="19" spans="1:2" x14ac:dyDescent="0.25">
      <c r="A19" t="s">
        <v>61</v>
      </c>
      <c r="B19" s="18">
        <f>B18/(1+Assumptions!B26)^(5-0.5*Assumptions!B32)</f>
        <v>7836452737.411865</v>
      </c>
    </row>
    <row r="20" spans="1:2" x14ac:dyDescent="0.25">
      <c r="A20" t="s">
        <v>62</v>
      </c>
      <c r="B20" s="18">
        <f>Forecast!B17+B19</f>
        <v>9855887841.097158</v>
      </c>
    </row>
    <row r="21" spans="1:2" x14ac:dyDescent="0.25">
      <c r="A21" t="s">
        <v>63</v>
      </c>
      <c r="B21" s="18">
        <f>-Assumptions!B30</f>
        <v>-5562000000</v>
      </c>
    </row>
    <row r="22" spans="1:2" x14ac:dyDescent="0.25">
      <c r="A22" t="s">
        <v>64</v>
      </c>
      <c r="B22" s="18">
        <f>B20+B21</f>
        <v>4293887841.0971584</v>
      </c>
    </row>
    <row r="23" spans="1:2" x14ac:dyDescent="0.25">
      <c r="A23" s="19" t="s">
        <v>65</v>
      </c>
      <c r="B23" s="25">
        <f>B22/Assumptions!B31</f>
        <v>3.175102430302081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936.8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62.08764996443671</v>
      </c>
    </row>
    <row r="29" spans="1:2" x14ac:dyDescent="0.25">
      <c r="A29" s="19" t="s">
        <v>73</v>
      </c>
      <c r="B29" s="12">
        <f>B28/B26-1</f>
        <v>-0.9337236870576039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0.06611</v>
      </c>
      <c r="B5" s="31">
        <v>1.992919880226765</v>
      </c>
      <c r="C5" s="31">
        <v>2.015304667547989</v>
      </c>
      <c r="D5" s="31">
        <v>2.037689454869213</v>
      </c>
      <c r="E5" s="31">
        <v>2.0600742421904363</v>
      </c>
      <c r="F5" s="31">
        <v>2.0824590295116585</v>
      </c>
    </row>
    <row r="6" spans="1:6" x14ac:dyDescent="0.25">
      <c r="A6" s="30">
        <v>0.07611</v>
      </c>
      <c r="B6" s="31">
        <v>1.1986355176444916</v>
      </c>
      <c r="C6" s="31">
        <v>1.2172792337800784</v>
      </c>
      <c r="D6" s="31">
        <v>1.2359229499156639</v>
      </c>
      <c r="E6" s="31">
        <v>1.2545666660512504</v>
      </c>
      <c r="F6" s="31">
        <v>1.2732103821868366</v>
      </c>
    </row>
    <row r="7" spans="1:6" x14ac:dyDescent="0.25">
      <c r="A7" s="30">
        <v>0.08611</v>
      </c>
      <c r="B7" s="31">
        <v>0.5892361688770656</v>
      </c>
      <c r="C7" s="31">
        <v>0.6050429507929379</v>
      </c>
      <c r="D7" s="32">
        <v>0.6208497327088087</v>
      </c>
      <c r="E7" s="31">
        <v>0.6366565146246795</v>
      </c>
      <c r="F7" s="31">
        <v>0.6524632965405511</v>
      </c>
    </row>
    <row r="8" spans="1:6" x14ac:dyDescent="0.25">
      <c r="A8" s="30">
        <v>0.09611</v>
      </c>
      <c r="B8" s="31">
        <v>0.10698985427337118</v>
      </c>
      <c r="C8" s="31">
        <v>0.12057977737615039</v>
      </c>
      <c r="D8" s="31">
        <v>0.13416970047892818</v>
      </c>
      <c r="E8" s="31">
        <v>0.14775962358170738</v>
      </c>
      <c r="F8" s="31">
        <v>0.16134954668448662</v>
      </c>
    </row>
    <row r="9" spans="1:6" x14ac:dyDescent="0.25">
      <c r="A9" s="30">
        <v>0.10611</v>
      </c>
      <c r="B9" s="31">
        <v>-0.2840711046231687</v>
      </c>
      <c r="C9" s="31">
        <v>-0.2722548332174885</v>
      </c>
      <c r="D9" s="31">
        <v>-0.26043856181180897</v>
      </c>
      <c r="E9" s="31">
        <v>-0.24862229040612874</v>
      </c>
      <c r="F9" s="31">
        <v>-0.23680601900044992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726000000</v>
      </c>
      <c r="C5" s="18">
        <v>675000000</v>
      </c>
      <c r="D5" s="18">
        <v>749000000</v>
      </c>
      <c r="E5" s="18">
        <v>669000000</v>
      </c>
      <c r="F5" s="8" t="s">
        <v>84</v>
      </c>
    </row>
    <row r="6" spans="1:6" x14ac:dyDescent="0.25">
      <c r="A6" t="s">
        <v>44</v>
      </c>
      <c r="B6" s="18">
        <v>499000000</v>
      </c>
      <c r="C6" s="18">
        <v>455000000</v>
      </c>
      <c r="D6" s="18">
        <v>525000000</v>
      </c>
      <c r="E6" s="18">
        <v>411000000</v>
      </c>
      <c r="F6" s="8" t="s">
        <v>85</v>
      </c>
    </row>
    <row r="7" spans="1:6" x14ac:dyDescent="0.25">
      <c r="A7" t="s">
        <v>86</v>
      </c>
      <c r="B7" s="18">
        <v>17000000</v>
      </c>
      <c r="C7" s="18">
        <v>12000000</v>
      </c>
      <c r="D7" s="18">
        <v>6000000</v>
      </c>
      <c r="E7" s="18">
        <v>4000000</v>
      </c>
      <c r="F7" s="8" t="s">
        <v>87</v>
      </c>
    </row>
    <row r="8" spans="1:6" x14ac:dyDescent="0.25">
      <c r="A8" t="s">
        <v>88</v>
      </c>
      <c r="B8" s="18">
        <v>29000000</v>
      </c>
      <c r="C8" s="18">
        <v>24000000</v>
      </c>
      <c r="D8" s="18">
        <v>29000000</v>
      </c>
      <c r="E8" s="18">
        <v>9000000</v>
      </c>
      <c r="F8" s="8" t="s">
        <v>89</v>
      </c>
    </row>
    <row r="9" spans="1:6" x14ac:dyDescent="0.25">
      <c r="A9" t="s">
        <v>90</v>
      </c>
      <c r="B9" s="18">
        <v>28000000</v>
      </c>
      <c r="C9" s="18">
        <v>13000000</v>
      </c>
      <c r="D9" s="18">
        <v>-38000000</v>
      </c>
      <c r="E9" s="18">
        <v>-70000000</v>
      </c>
      <c r="F9" s="8" t="s">
        <v>91</v>
      </c>
    </row>
    <row r="10" spans="1:6" x14ac:dyDescent="0.25">
      <c r="A10" t="s">
        <v>92</v>
      </c>
      <c r="B10" s="18">
        <v>5599000000</v>
      </c>
      <c r="C10" s="18">
        <v>4677000000</v>
      </c>
      <c r="D10" s="18">
        <v>5423000000</v>
      </c>
      <c r="E10" s="18">
        <v>4961000000</v>
      </c>
      <c r="F10" s="8" t="s">
        <v>93</v>
      </c>
    </row>
    <row r="11" spans="1:6" x14ac:dyDescent="0.25">
      <c r="A11" t="s">
        <v>94</v>
      </c>
      <c r="B11" s="18">
        <v>37000000</v>
      </c>
      <c r="C11" s="18">
        <v>292000000</v>
      </c>
      <c r="D11" s="18">
        <v>315000000</v>
      </c>
      <c r="E11" s="18">
        <v>112000000</v>
      </c>
      <c r="F11" s="8" t="s">
        <v>95</v>
      </c>
    </row>
    <row r="12" spans="1:6" x14ac:dyDescent="0.25">
      <c r="A12" t="s">
        <v>32</v>
      </c>
      <c r="B12" s="34">
        <v>1352361990</v>
      </c>
      <c r="C12" s="34">
        <v>1332000000</v>
      </c>
      <c r="D12" s="34">
        <v>1223400000</v>
      </c>
      <c r="E12" s="34">
        <v>1206600000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2026-09-19T00:08:37Z</dcterms:modified>
</cp:coreProperties>
</file>