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<sst xmlns="http://schemas.openxmlformats.org/spreadsheetml/2006/main" count="116" uniqueCount="103">
  <si>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Svenska Handelsbanken AB (publ) (SHB-A.ST)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</si>
  <si>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</si>
  <si>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</si>
  <si>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</si>
  <si>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</si>
  <si>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</si>
  <si>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</si>
  <si>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</si>
  <si>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</si>
  <si>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</si>
  <si>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</si>
  <si>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</si>
  <si>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</si>
  <si>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</si>
  <si>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</si>
  <si>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</si>
  <si>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</si>
  <si>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</si>
  <si>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</si>
  <si>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</si>
  <si>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</si>
  <si>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</si>
  <si>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</si>
  <si>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</si>
  <si>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</si>
  <si>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</si>
  <si>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</si>
  <si>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</si>
  <si>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</si>
  <si>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</si>
  <si>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</si>
  <si>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</si>
  <si>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</si>
  <si>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</si>
  <si>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</si>
  <si>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</si>
  <si>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</si>
  <si>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</si>
  <si>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</si>
  <si>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</si>
  <si>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</si>
  <si>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</si>
  <si>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</si>
  <si>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</si>
  <si>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</si>
  <si>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</si>
  <si>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</si>
  <si>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</si>
  <si>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</si>
  <si>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</si>
  <si>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</si>
  <si>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</si>
  <si>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</si>
  <si>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</si>
  <si>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</si>
  <si>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</si>
  <si>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</si>
  <si>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</si>
  <si>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</si>
  <si>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</si>
  <si>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</si>
  <si>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</si>
  <si>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</si>
  <si>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</si>
  <si>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</si>
  <si>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</si>
  <si>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</si>
  <si>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</si>
  <si>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</si>
  <si>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</si>
  <si>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</si>
  <si>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</si>
  <si>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</si>
  <si>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</si>
  <si>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</si>
  <si>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</si>
  <si>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</si>
  <si>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</si>
  <si>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</si>
  <si>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</si>
  <si>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</si>
  <si>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</si>
  <si>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</si>
  <si>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</si>
  <si>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</si>
  <si>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</si>
  <si>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</si>
  <si>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</si>
  <si>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</si>
  <si>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</si>
  <si>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</si>
  <si>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</si>
  <si>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</si>
  <si>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</si>
  <si>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</si>
  <si>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</si>
  <si>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</si>
  <si>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</si>
  <si>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</si>
  <si>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</si>
  <si>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</si>
  <si>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Current EV/EBITDA of 47.7x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</si>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</sst>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0.04816829477757656</v>
      </c>
    </row>
    <row r="7" spans="1:2" x14ac:dyDescent="0.25">
      <c r="A7" t="s">
        <v>5</v>
      </c>
      <c r="B7" s="6">
        <v>0.5581511897619547</v>
      </c>
    </row>
    <row r="8" spans="1:2" x14ac:dyDescent="0.25">
      <c r="A8" t="s">
        <v>6</v>
      </c>
      <c r="B8" s="6">
        <v>0.2211436583694144</v>
      </c>
    </row>
    <row r="9" spans="1:2" x14ac:dyDescent="0.25">
      <c r="A9" t="s">
        <v>7</v>
      </c>
      <c r="B9" s="6">
        <v>0.047153261920087536</v>
      </c>
    </row>
    <row r="10" spans="1:2" x14ac:dyDescent="0.25">
      <c r="A10" t="s">
        <v>8</v>
      </c>
      <c r="B10" s="6">
        <v>0.02613376914527469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0.045613509421592174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0.66768</v>
      </c>
      <c r="C19" s="8" t="s">
        <v>19</v>
      </c>
    </row>
    <row r="20" spans="1:2" x14ac:dyDescent="0.25">
      <c r="A20" t="s">
        <v>20</v>
      </c>
      <c r="B20" s="10">
        <f>B17+B19*B18</f>
        <v>0.08539920000000001</v>
      </c>
    </row>
    <row r="21" spans="1:3" x14ac:dyDescent="0.25">
      <c r="A21" t="s">
        <v>21</v>
      </c>
      <c r="B21" s="6">
        <v>0.049263691174364</v>
      </c>
      <c r="C21" s="8" t="s">
        <v>22</v>
      </c>
    </row>
    <row r="22" spans="1:2" x14ac:dyDescent="0.25">
      <c r="A22" t="s">
        <v>23</v>
      </c>
      <c r="B22" s="11">
        <v>307029901312</v>
      </c>
    </row>
    <row r="23" spans="1:2" x14ac:dyDescent="0.25">
      <c r="A23" t="s">
        <v>24</v>
      </c>
      <c r="B23" s="11">
        <v>1686238000000</v>
      </c>
    </row>
    <row r="24" spans="1:2" x14ac:dyDescent="0.25">
      <c r="A24" t="s">
        <v>25</v>
      </c>
      <c r="B24" s="10">
        <f>B22/(B22+B23)</f>
        <v>0.1540334347981564</v>
      </c>
    </row>
    <row r="25" spans="1:2" x14ac:dyDescent="0.25">
      <c r="A25" t="s">
        <v>26</v>
      </c>
      <c r="B25" s="10">
        <f>1-B24</f>
        <v>0.8459665652018435</v>
      </c>
    </row>
    <row r="26" spans="1:2" x14ac:dyDescent="0.25">
      <c r="A26" t="s">
        <v>27</v>
      </c>
      <c r="B26" s="12">
        <f>B24*B20+B25*B21*(1-B8)</f>
        <v>0.045613509421592174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56805000000</v>
      </c>
      <c r="C29" s="8" t="s">
        <v>30</v>
      </c>
    </row>
    <row r="30" spans="1:2" x14ac:dyDescent="0.25">
      <c r="A30" t="s">
        <v>31</v>
      </c>
      <c r="B30" s="11">
        <v>1253558000000</v>
      </c>
    </row>
    <row r="31" spans="1:2" x14ac:dyDescent="0.25">
      <c r="A31" t="s">
        <v>32</v>
      </c>
      <c r="B31" s="13">
        <v>1980000000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0.04816829477757656</v>
      </c>
      <c r="C5" s="10">
        <f>Assumptions!B6</f>
        <v>0.04816829477757656</v>
      </c>
      <c r="D5" s="10">
        <f>Assumptions!B6</f>
        <v>0.04816829477757656</v>
      </c>
      <c r="E5" s="10">
        <f>Assumptions!B6</f>
        <v>0.04816829477757656</v>
      </c>
      <c r="F5" s="10">
        <f>Assumptions!B6</f>
        <v>0.04816829477757656</v>
      </c>
    </row>
    <row r="6" spans="1:6" x14ac:dyDescent="0.25">
      <c r="A6" t="s">
        <v>43</v>
      </c>
      <c r="B6" s="18">
        <f>Assumptions!B29*(1+B5)</f>
        <v>59541199984.84023</v>
      </c>
      <c r="C6" s="18">
        <f>B6*(1+C5)</f>
        <v>62409198057.12065</v>
      </c>
      <c r="D6" s="18">
        <f>C6*(1+D5)</f>
        <v>65415342705.9682</v>
      </c>
      <c r="E6" s="18">
        <f>D6*(1+E5)</f>
        <v>68566288216.40547</v>
      </c>
      <c r="F6" s="18">
        <f>E6*(1+F5)</f>
        <v>71869009399.01756</v>
      </c>
    </row>
    <row r="7" spans="1:6" x14ac:dyDescent="0.25">
      <c r="A7" t="s">
        <v>5</v>
      </c>
      <c r="B7" s="10">
        <f>Assumptions!B7</f>
        <v>0.5581511897619547</v>
      </c>
      <c r="C7" s="10">
        <f>Assumptions!B7</f>
        <v>0.5581511897619547</v>
      </c>
      <c r="D7" s="10">
        <f>Assumptions!B7</f>
        <v>0.5581511897619547</v>
      </c>
      <c r="E7" s="10">
        <f>Assumptions!B7</f>
        <v>0.5581511897619547</v>
      </c>
      <c r="F7" s="10">
        <f>Assumptions!B7</f>
        <v>0.5581511897619547</v>
      </c>
    </row>
    <row r="8" spans="1:6" x14ac:dyDescent="0.25">
      <c r="A8" t="s">
        <v>44</v>
      </c>
      <c r="B8" s="18">
        <f>B6*B7</f>
        <v>33232991611.39305</v>
      </c>
      <c r="C8" s="18">
        <f>C6*C7</f>
        <v>34833768147.671364</v>
      </c>
      <c r="D8" s="18">
        <f>D6*D7</f>
        <v>36511651360.022156</v>
      </c>
      <c r="E8" s="18">
        <f>E6*E7</f>
        <v>38270355345.547806</v>
      </c>
      <c r="F8" s="18">
        <f>F6*F7</f>
        <v>40113773103.07475</v>
      </c>
    </row>
    <row r="9" spans="1:6" x14ac:dyDescent="0.25">
      <c r="A9" t="s">
        <v>45</v>
      </c>
      <c r="B9" s="18">
        <f>B8*(1-Assumptions!B8)</f>
        <v>25883726267.88953</v>
      </c>
      <c r="C9" s="18">
        <f>C8*(1-Assumptions!B8)</f>
        <v>27130501224.70334</v>
      </c>
      <c r="D9" s="18">
        <f>D8*(1-Assumptions!B8)</f>
        <v>28437331205.158253</v>
      </c>
      <c r="E9" s="18">
        <f>E8*(1-Assumptions!B8)</f>
        <v>29807108957.335888</v>
      </c>
      <c r="F9" s="18">
        <f>F8*(1-Assumptions!B8)</f>
        <v>31242866568.060184</v>
      </c>
    </row>
    <row r="10" spans="1:6" x14ac:dyDescent="0.25">
      <c r="A10" t="s">
        <v>46</v>
      </c>
      <c r="B10" s="18">
        <f>B6*Assumptions!B9</f>
        <v>2807561797.9214835</v>
      </c>
      <c r="C10" s="18">
        <f>C6*Assumptions!B9</f>
        <v>2942797262.210028</v>
      </c>
      <c r="D10" s="18">
        <f>D6*Assumptions!B9</f>
        <v>3084546788.206806</v>
      </c>
      <c r="E10" s="18">
        <f>E6*Assumptions!B9</f>
        <v>3233124147.1563787</v>
      </c>
      <c r="F10" s="18">
        <f>F6*Assumptions!B9</f>
        <v>3388858224.129108</v>
      </c>
    </row>
    <row r="11" spans="1:6" x14ac:dyDescent="0.25">
      <c r="A11" t="s">
        <v>47</v>
      </c>
      <c r="B11" s="18">
        <f>-B6*Assumptions!B10</f>
        <v>-1556035975.0364475</v>
      </c>
      <c r="C11" s="18">
        <f>-C6*Assumptions!B10</f>
        <v>-1630987574.5665169</v>
      </c>
      <c r="D11" s="18">
        <f>-D6*Assumptions!B10</f>
        <v>-1709549464.8368015</v>
      </c>
      <c r="E11" s="18">
        <f>-E6*Assumptions!B10</f>
        <v>-1791895547.3959088</v>
      </c>
      <c r="F11" s="18">
        <f>-F6*Assumptions!B10</f>
        <v>-1878208100.3335018</v>
      </c>
    </row>
    <row r="12" spans="1:6" x14ac:dyDescent="0.25">
      <c r="A12" t="s">
        <v>48</v>
      </c>
      <c r="B12" s="18">
        <f>-(B6-Assumptions!B29)*Assumptions!B11</f>
        <v>2736199984.840233</v>
      </c>
      <c r="C12" s="18">
        <f>-(C6-B6)*Assumptions!B11</f>
        <v>2867998072.2804184</v>
      </c>
      <c r="D12" s="18">
        <f>-(D6-C6)*Assumptions!B11</f>
        <v>3006144648.8475494</v>
      </c>
      <c r="E12" s="18">
        <f>-(E6-D6)*Assumptions!B11</f>
        <v>3150945510.437271</v>
      </c>
      <c r="F12" s="18">
        <f>-(F6-E6)*Assumptions!B11</f>
        <v>3302721182.612091</v>
      </c>
    </row>
    <row r="13" spans="1:6" x14ac:dyDescent="0.25">
      <c r="A13" s="19" t="s">
        <v>49</v>
      </c>
      <c r="B13" s="20">
        <f>B9+B10+B11+B12</f>
        <v>29871452075.6148</v>
      </c>
      <c r="C13" s="20">
        <f>C9+C10+C11+C12</f>
        <v>31310308984.62727</v>
      </c>
      <c r="D13" s="20">
        <f>D9+D10+D11+D12</f>
        <v>32818473177.37581</v>
      </c>
      <c r="E13" s="20">
        <f>E9+E10+E11+E12</f>
        <v>34399283067.53363</v>
      </c>
      <c r="F13" s="20">
        <f>F9+F10+F11+F12</f>
        <v>36056237874.46788</v>
      </c>
    </row>
    <row r="14" spans="1:6" x14ac:dyDescent="0.25">
      <c r="A14" t="s">
        <v>50</v>
      </c>
      <c r="B14" s="21">
        <f>1/(1+Assumptions!$B$26)^(1-0.5*Assumptions!$B$32)</f>
        <v>0.9779449471874345</v>
      </c>
      <c r="C14" s="21">
        <f>1/(1+Assumptions!$B$26)^(2-0.5*Assumptions!$B$32)</f>
        <v>0.9352833894891139</v>
      </c>
      <c r="D14" s="21">
        <f>1/(1+Assumptions!$B$26)^(3-0.5*Assumptions!$B$32)</f>
        <v>0.8944828859436696</v>
      </c>
      <c r="E14" s="21">
        <f>1/(1+Assumptions!$B$26)^(4-0.5*Assumptions!$B$32)</f>
        <v>0.8554622505197695</v>
      </c>
      <c r="F14" s="21">
        <f>1/(1+Assumptions!$B$26)^(5-0.5*Assumptions!$B$32)</f>
        <v>0.8181438388195562</v>
      </c>
    </row>
    <row r="15" spans="1:6" x14ac:dyDescent="0.25">
      <c r="A15" s="19" t="s">
        <v>51</v>
      </c>
      <c r="B15" s="20">
        <f>B13*B14</f>
        <v>29212635622.499096</v>
      </c>
      <c r="C15" s="20">
        <f>C13*C14</f>
        <v>29284011913.09365</v>
      </c>
      <c r="D15" s="20">
        <f>D13*D14</f>
        <v>29355562599.964027</v>
      </c>
      <c r="E15" s="20">
        <f>E13*E14</f>
        <v>29427288109.21892</v>
      </c>
      <c r="F15" s="20">
        <f>F13*F14</f>
        <v>29499188868.00823</v>
      </c>
    </row>
    <row r="17" spans="1:2" x14ac:dyDescent="0.25">
      <c r="A17" s="22" t="s">
        <v>52</v>
      </c>
      <c r="B17" s="23">
        <f>SUM(B15:F15)</f>
        <v>146778687112.7839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36056237874.46788</v>
      </c>
    </row>
    <row r="5" spans="1:2" x14ac:dyDescent="0.25">
      <c r="A5" t="s">
        <v>56</v>
      </c>
      <c r="B5" s="18">
        <f>IF(Assumptions!$B$33=0,B4,B4-Forecast!F11-Forecast!F10-Forecast!F12)</f>
        <v>32661010637.734745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0.5480832393081707</v>
      </c>
    </row>
    <row r="7" spans="1:2" x14ac:dyDescent="0.25">
      <c r="A7" t="s">
        <v>58</v>
      </c>
      <c r="B7" s="18">
        <f>-MAX(Forecast!F9,0)*B6</f>
        <v>-17900952509.408283</v>
      </c>
    </row>
    <row r="8" spans="1:2" x14ac:dyDescent="0.25">
      <c r="A8" t="s">
        <v>59</v>
      </c>
      <c r="B8" s="18">
        <f>IF(OR(Assumptions!$B$33=0,Assumptions!B12&lt;=0),B5,MAX(B5+B7,0))</f>
        <v>14760058128.326462</v>
      </c>
    </row>
    <row r="9" spans="1:2" x14ac:dyDescent="0.25">
      <c r="A9" t="s">
        <v>60</v>
      </c>
      <c r="B9" s="18">
        <f>B8*(1+Assumptions!B12)/(Assumptions!B26-Assumptions!B12)</f>
        <v>733939052885.7393</v>
      </c>
    </row>
    <row r="10" spans="1:2" x14ac:dyDescent="0.25">
      <c r="A10" t="s">
        <v>61</v>
      </c>
      <c r="B10" s="18">
        <f>B9/(1+Assumptions!B26)^(5-0.5*Assumptions!B32)</f>
        <v>600467714187.528</v>
      </c>
    </row>
    <row r="11" spans="1:2" x14ac:dyDescent="0.25">
      <c r="A11" t="s">
        <v>62</v>
      </c>
      <c r="B11" s="18">
        <f>Forecast!B17+B10</f>
        <v>747246401300.3119</v>
      </c>
    </row>
    <row r="12" spans="1:2" x14ac:dyDescent="0.25">
      <c r="A12" t="s">
        <v>63</v>
      </c>
      <c r="B12" s="18">
        <f>-Assumptions!B30</f>
        <v>-1253558000000</v>
      </c>
    </row>
    <row r="13" spans="1:2" x14ac:dyDescent="0.25">
      <c r="A13" t="s">
        <v>64</v>
      </c>
      <c r="B13" s="18">
        <f>B11+B12</f>
        <v>-506311598699.6881</v>
      </c>
    </row>
    <row r="14" spans="1:2" x14ac:dyDescent="0.25">
      <c r="A14" s="19" t="s">
        <v>65</v>
      </c>
      <c r="B14" s="24">
        <f>B13/Assumptions!B31</f>
        <v>-255.71292863620613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43502631327.20386</v>
      </c>
    </row>
    <row r="18" spans="1:2" x14ac:dyDescent="0.25">
      <c r="A18" t="s">
        <v>60</v>
      </c>
      <c r="B18" s="18">
        <f>B17*Assumptions!B13</f>
        <v>870052626544.0771</v>
      </c>
    </row>
    <row r="19" spans="1:2" x14ac:dyDescent="0.25">
      <c r="A19" t="s">
        <v>61</v>
      </c>
      <c r="B19" s="18">
        <f>B18/(1+Assumptions!B26)^(5-0.5*Assumptions!B32)</f>
        <v>711828195855.809</v>
      </c>
    </row>
    <row r="20" spans="1:2" x14ac:dyDescent="0.25">
      <c r="A20" t="s">
        <v>62</v>
      </c>
      <c r="B20" s="18">
        <f>Forecast!B17+B19</f>
        <v>858606882968.5929</v>
      </c>
    </row>
    <row r="21" spans="1:2" x14ac:dyDescent="0.25">
      <c r="A21" t="s">
        <v>63</v>
      </c>
      <c r="B21" s="18">
        <f>-Assumptions!B30</f>
        <v>-1253558000000</v>
      </c>
    </row>
    <row r="22" spans="1:2" x14ac:dyDescent="0.25">
      <c r="A22" t="s">
        <v>64</v>
      </c>
      <c r="B22" s="18">
        <f>B20+B21</f>
        <v>-394951117031.4071</v>
      </c>
    </row>
    <row r="23" spans="1:2" x14ac:dyDescent="0.25">
      <c r="A23" s="19" t="s">
        <v>65</v>
      </c>
      <c r="B23" s="25">
        <f>B22/Assumptions!B31</f>
        <v>-199.4702611269733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153.15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-255.71292863620613</v>
      </c>
    </row>
    <row r="29" spans="1:2" x14ac:dyDescent="0.25">
      <c r="A29" s="19" t="s">
        <v>73</v>
      </c>
      <c r="B29" s="12">
        <f>B28/B26-1</f>
        <v>-2.6696893805824757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0.025614</v>
      </c>
      <c r="B5" s="31">
        <v>28.068606633160215</v>
      </c>
      <c r="C5" s="31">
        <v>30.942226356179965</v>
      </c>
      <c r="D5" s="31">
        <v>1902.2162450447374</v>
      </c>
      <c r="E5" s="31" t="s">
        <v>76</v>
      </c>
      <c r="F5" s="31" t="s">
        <v>76</v>
      </c>
    </row>
    <row r="6" spans="1:6" x14ac:dyDescent="0.25">
      <c r="A6" s="30">
        <v>0.035614</v>
      </c>
      <c r="B6" s="31">
        <v>-155.54295920069154</v>
      </c>
      <c r="C6" s="31">
        <v>-153.56451834853416</v>
      </c>
      <c r="D6" s="31">
        <v>-151.58607749637673</v>
      </c>
      <c r="E6" s="31">
        <v>-149.6076366442194</v>
      </c>
      <c r="F6" s="31">
        <v>1818.2830346692695</v>
      </c>
    </row>
    <row r="7" spans="1:6" x14ac:dyDescent="0.25">
      <c r="A7" s="30">
        <v>0.045614</v>
      </c>
      <c r="B7" s="31">
        <v>-258.67557737724906</v>
      </c>
      <c r="C7" s="31">
        <v>-257.1962475216005</v>
      </c>
      <c r="D7" s="32">
        <v>-255.7169176659521</v>
      </c>
      <c r="E7" s="31">
        <v>-254.23758781030335</v>
      </c>
      <c r="F7" s="31">
        <v>-252.75825795465494</v>
      </c>
    </row>
    <row r="8" spans="1:6" x14ac:dyDescent="0.25">
      <c r="A8" s="30">
        <v>0.055614</v>
      </c>
      <c r="B8" s="31">
        <v>-324.7405986587607</v>
      </c>
      <c r="C8" s="31">
        <v>-323.5781409431369</v>
      </c>
      <c r="D8" s="31">
        <v>-322.415683227513</v>
      </c>
      <c r="E8" s="31">
        <v>-321.253225511889</v>
      </c>
      <c r="F8" s="31">
        <v>-320.09076779626525</v>
      </c>
    </row>
    <row r="9" spans="1:6" x14ac:dyDescent="0.25">
      <c r="A9" s="30">
        <v>0.065614</v>
      </c>
      <c r="B9" s="31">
        <v>-370.68479554102635</v>
      </c>
      <c r="C9" s="31">
        <v>-369.74043400555934</v>
      </c>
      <c r="D9" s="31">
        <v>-368.7960724700924</v>
      </c>
      <c r="E9" s="31">
        <v>-367.85171093462543</v>
      </c>
      <c r="F9" s="31">
        <v>-366.9073493991585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56805000000</v>
      </c>
      <c r="C5" s="18">
        <v>62314000000</v>
      </c>
      <c r="D5" s="18">
        <v>62040000000</v>
      </c>
      <c r="E5" s="18">
        <v>49328000000</v>
      </c>
      <c r="F5" s="8" t="s">
        <v>85</v>
      </c>
    </row>
    <row r="6" spans="1:6" x14ac:dyDescent="0.25">
      <c r="A6" t="s">
        <v>44</v>
      </c>
      <c r="B6" s="18">
        <v>30750000000</v>
      </c>
      <c r="C6" s="18">
        <v>35016000000</v>
      </c>
      <c r="D6" s="18">
        <v>36322000000</v>
      </c>
      <c r="E6" s="18">
        <v>26829000000</v>
      </c>
      <c r="F6" s="8" t="s">
        <v>86</v>
      </c>
    </row>
    <row r="7" spans="1:6" x14ac:dyDescent="0.25">
      <c r="A7" t="s">
        <v>87</v>
      </c>
      <c r="B7" s="18">
        <v>1941000000</v>
      </c>
      <c r="C7" s="18">
        <v>2435000000</v>
      </c>
      <c r="D7" s="18">
        <v>1748000000</v>
      </c>
      <c r="E7" s="18">
        <v>4301000000</v>
      </c>
      <c r="F7" s="8" t="s">
        <v>88</v>
      </c>
    </row>
    <row r="8" spans="1:6" x14ac:dyDescent="0.25">
      <c r="A8" t="s">
        <v>89</v>
      </c>
      <c r="B8" s="18">
        <v>1093000000</v>
      </c>
      <c r="C8" s="18">
        <v>1627000000</v>
      </c>
      <c r="D8" s="18">
        <v>1789000000</v>
      </c>
      <c r="E8" s="18">
        <v>1497000000</v>
      </c>
      <c r="F8" s="8" t="s">
        <v>90</v>
      </c>
    </row>
    <row r="9" spans="1:6" x14ac:dyDescent="0.25">
      <c r="A9" t="s">
        <v>91</v>
      </c>
      <c r="B9" s="18">
        <v>73157000000</v>
      </c>
      <c r="C9" s="18">
        <v>-14188000000</v>
      </c>
      <c r="D9" s="18">
        <v>7816000000</v>
      </c>
      <c r="E9" s="18">
        <v>62169000000</v>
      </c>
      <c r="F9" s="8" t="s">
        <v>92</v>
      </c>
    </row>
    <row r="10" spans="1:6" x14ac:dyDescent="0.25">
      <c r="A10" t="s">
        <v>93</v>
      </c>
      <c r="B10" s="18">
        <v>1686238000000</v>
      </c>
      <c r="C10" s="18">
        <v>1839117000000</v>
      </c>
      <c r="D10" s="18">
        <v>1851296000000</v>
      </c>
      <c r="E10" s="18">
        <v>1660193000000</v>
      </c>
      <c r="F10" s="8" t="s">
        <v>94</v>
      </c>
    </row>
    <row r="11" spans="1:6" x14ac:dyDescent="0.25">
      <c r="A11" t="s">
        <v>95</v>
      </c>
      <c r="B11" s="18">
        <v>432680000000</v>
      </c>
      <c r="C11" s="18">
        <v>542542000000</v>
      </c>
      <c r="D11" s="18">
        <v>482453000000</v>
      </c>
      <c r="E11" s="18">
        <v>480472000000</v>
      </c>
      <c r="F11" s="8" t="s">
        <v>96</v>
      </c>
    </row>
    <row r="12" spans="1:6" x14ac:dyDescent="0.25">
      <c r="A12" t="s">
        <v>32</v>
      </c>
      <c r="B12" s="34">
        <v>1980000000</v>
      </c>
      <c r="C12" s="34">
        <v>1980000000</v>
      </c>
      <c r="D12" s="34">
        <v>1980000000</v>
      </c>
      <c r="E12" s="34">
        <v>1980000000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38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2026-09-19T01:59:00Z</dcterms:modified>
</cp:coreProperties>
</file>