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<sst xmlns="http://schemas.openxmlformats.org/spreadsheetml/2006/main" count="114" uniqueCount="102">
  <si>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Shell plc (SHELL.AS)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</si>
  <si>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</si>
  <si>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</si>
  <si>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</si>
  <si>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</si>
  <si>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</si>
  <si>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</si>
  <si>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</si>
  <si>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</si>
  <si>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</si>
  <si>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</si>
  <si>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</si>
  <si>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</si>
  <si>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</si>
  <si>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</si>
  <si>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</si>
  <si>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</si>
  <si>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</si>
  <si>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</si>
  <si>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Clamped from a reported -0.220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</si>
  <si>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</si>
  <si>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</si>
  <si>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</si>
  <si>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</si>
  <si>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</si>
  <si>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</si>
  <si>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</si>
  <si>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</si>
  <si>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</si>
  <si>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</si>
  <si>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</si>
  <si>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</si>
  <si>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</si>
  <si>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</si>
  <si>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</si>
  <si>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</si>
  <si>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</si>
  <si>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</si>
  <si>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</si>
  <si>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</si>
  <si>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</si>
  <si>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</si>
  <si>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</si>
  <si>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</si>
  <si>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</si>
  <si>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</si>
  <si>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</si>
  <si>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</si>
  <si>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</si>
  <si>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</si>
  <si>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</si>
  <si>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</si>
  <si>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</si>
  <si>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</si>
  <si>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</si>
  <si>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</si>
  <si>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</si>
  <si>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</si>
  <si>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</si>
  <si>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</si>
  <si>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</si>
  <si>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</si>
  <si>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</si>
  <si>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</si>
  <si>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</si>
  <si>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</si>
  <si>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</si>
  <si>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</si>
  <si>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</si>
  <si>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</si>
  <si>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</si>
  <si>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</si>
  <si>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</si>
  <si>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</si>
  <si>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</si>
  <si>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</si>
  <si>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</si>
  <si>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</si>
  <si>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</si>
  <si>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</si>
  <si>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</si>
  <si>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</si>
  <si>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</si>
  <si>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</si>
  <si>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</si>
  <si>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</si>
  <si>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</si>
  <si>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</si>
  <si>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</si>
  <si>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</si>
  <si>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</si>
  <si>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</si>
  <si>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</si>
  <si>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</si>
  <si>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</si>
  <si>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</si>
  <si>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</si>
  <si>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</si>
  <si>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EUR. Modelled in USD, converted at the end.</t>
  </si>
  <si>
    <t>Adjusted: Beta of -0.220 is not usable in a cost of equity. Clamped to 0.30.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</si>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</sst>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-0.11213347820720299</v>
      </c>
    </row>
    <row r="7" spans="1:2" x14ac:dyDescent="0.25">
      <c r="A7" t="s">
        <v>5</v>
      </c>
      <c r="B7" s="6">
        <v>0.11785494437216293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0.07365332506716202</v>
      </c>
    </row>
    <row r="10" spans="1:2" x14ac:dyDescent="0.25">
      <c r="A10" t="s">
        <v>8</v>
      </c>
      <c r="B10" s="6">
        <v>0.06795590995246237</v>
      </c>
    </row>
    <row r="11" spans="1:2" x14ac:dyDescent="0.25">
      <c r="A11" t="s">
        <v>9</v>
      </c>
      <c r="B11" s="6">
        <v>0.06382320168379349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5.669663504070433</v>
      </c>
    </row>
    <row r="14" spans="1:3" x14ac:dyDescent="0.25">
      <c r="A14" t="s">
        <v>12</v>
      </c>
      <c r="B14" s="6">
        <v>0.09755441671852033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0.0615</v>
      </c>
    </row>
    <row r="21" spans="1:3" x14ac:dyDescent="0.25">
      <c r="A21" t="s">
        <v>21</v>
      </c>
      <c r="B21" s="6">
        <v>0.062087073814341184</v>
      </c>
      <c r="C21" s="8" t="s">
        <v>22</v>
      </c>
    </row>
    <row r="22" spans="1:2" x14ac:dyDescent="0.25">
      <c r="A22" t="s">
        <v>23</v>
      </c>
      <c r="B22" s="11">
        <v>236047089664</v>
      </c>
    </row>
    <row r="23" spans="1:2" x14ac:dyDescent="0.25">
      <c r="A23" t="s">
        <v>24</v>
      </c>
      <c r="B23" s="11">
        <v>75643000000</v>
      </c>
    </row>
    <row r="24" spans="1:2" x14ac:dyDescent="0.25">
      <c r="A24" t="s">
        <v>25</v>
      </c>
      <c r="B24" s="10">
        <f>B22/(B22+B23)</f>
        <v>0.7573134260330744</v>
      </c>
    </row>
    <row r="25" spans="1:2" x14ac:dyDescent="0.25">
      <c r="A25" t="s">
        <v>26</v>
      </c>
      <c r="B25" s="10">
        <f>1-B24</f>
        <v>0.2426865739669256</v>
      </c>
    </row>
    <row r="26" spans="1:2" x14ac:dyDescent="0.25">
      <c r="A26" t="s">
        <v>27</v>
      </c>
      <c r="B26" s="12">
        <f>B24*B20+B25*B21*(1-B8)</f>
        <v>0.05787555012475964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266886000000</v>
      </c>
      <c r="C29" s="8" t="s">
        <v>30</v>
      </c>
    </row>
    <row r="30" spans="1:2" x14ac:dyDescent="0.25">
      <c r="A30" t="s">
        <v>31</v>
      </c>
      <c r="B30" s="11">
        <v>46013000000</v>
      </c>
    </row>
    <row r="31" spans="1:2" x14ac:dyDescent="0.25">
      <c r="A31" t="s">
        <v>32</v>
      </c>
      <c r="B31" s="13">
        <v>5948600000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-0.11213347820720299</v>
      </c>
      <c r="C5" s="10">
        <f>Assumptions!B6</f>
        <v>-0.11213347820720299</v>
      </c>
      <c r="D5" s="10">
        <f>Assumptions!B6</f>
        <v>-0.11213347820720299</v>
      </c>
      <c r="E5" s="10">
        <f>Assumptions!B6</f>
        <v>-0.11213347820720299</v>
      </c>
      <c r="F5" s="10">
        <f>Assumptions!B6</f>
        <v>-0.11213347820720299</v>
      </c>
    </row>
    <row r="6" spans="1:6" x14ac:dyDescent="0.25">
      <c r="A6" t="s">
        <v>43</v>
      </c>
      <c r="B6" s="18">
        <f>Assumptions!B29*(1+B5)</f>
        <v>236959144535.1924</v>
      </c>
      <c r="C6" s="18">
        <f>B6*(1+C5)</f>
        <v>210388091465.45795</v>
      </c>
      <c r="D6" s="18">
        <f>C6*(1+D5)</f>
        <v>186796542996.061</v>
      </c>
      <c r="E6" s="18">
        <f>D6*(1+E5)</f>
        <v>165850396912.83133</v>
      </c>
      <c r="F6" s="18">
        <f>E6*(1+F5)</f>
        <v>147253015044.95038</v>
      </c>
    </row>
    <row r="7" spans="1:6" x14ac:dyDescent="0.25">
      <c r="A7" t="s">
        <v>5</v>
      </c>
      <c r="B7" s="10">
        <f>Assumptions!B7</f>
        <v>0.11785494437216293</v>
      </c>
      <c r="C7" s="10">
        <f>Assumptions!B7</f>
        <v>0.11785494437216293</v>
      </c>
      <c r="D7" s="10">
        <f>Assumptions!B7</f>
        <v>0.11785494437216293</v>
      </c>
      <c r="E7" s="10">
        <f>Assumptions!B7</f>
        <v>0.11785494437216293</v>
      </c>
      <c r="F7" s="10">
        <f>Assumptions!B7</f>
        <v>0.11785494437216293</v>
      </c>
    </row>
    <row r="8" spans="1:6" x14ac:dyDescent="0.25">
      <c r="A8" t="s">
        <v>44</v>
      </c>
      <c r="B8" s="18">
        <f>B6*B7</f>
        <v>27926806797.670418</v>
      </c>
      <c r="C8" s="18">
        <f>C6*C7</f>
        <v>24795276816.227074</v>
      </c>
      <c r="D8" s="18">
        <f>D6*D7</f>
        <v>22014896183.71311</v>
      </c>
      <c r="E8" s="18">
        <f>E6*E7</f>
        <v>19546289302.26288</v>
      </c>
      <c r="F8" s="18">
        <f>F6*F7</f>
        <v>17354495896.755898</v>
      </c>
    </row>
    <row r="9" spans="1:6" x14ac:dyDescent="0.25">
      <c r="A9" t="s">
        <v>45</v>
      </c>
      <c r="B9" s="18">
        <f>B8*(1-Assumptions!B8)</f>
        <v>20945105098.252815</v>
      </c>
      <c r="C9" s="18">
        <f>C8*(1-Assumptions!B8)</f>
        <v>18596457612.170303</v>
      </c>
      <c r="D9" s="18">
        <f>D8*(1-Assumptions!B8)</f>
        <v>16511172137.784834</v>
      </c>
      <c r="E9" s="18">
        <f>E8*(1-Assumptions!B8)</f>
        <v>14659716976.697159</v>
      </c>
      <c r="F9" s="18">
        <f>F8*(1-Assumptions!B8)</f>
        <v>13015871922.566923</v>
      </c>
    </row>
    <row r="10" spans="1:6" x14ac:dyDescent="0.25">
      <c r="A10" t="s">
        <v>46</v>
      </c>
      <c r="B10" s="18">
        <f>B6*Assumptions!B9</f>
        <v>17452828900.087154</v>
      </c>
      <c r="C10" s="18">
        <f>C6*Assumptions!B9</f>
        <v>15495782490.965189</v>
      </c>
      <c r="D10" s="18">
        <f>D6*Assumptions!B9</f>
        <v>13758186502.710987</v>
      </c>
      <c r="E10" s="18">
        <f>E6*Assumptions!B9</f>
        <v>12215433196.33861</v>
      </c>
      <c r="F10" s="18">
        <f>F6*Assumptions!B9</f>
        <v>10845674184.22543</v>
      </c>
    </row>
    <row r="11" spans="1:6" x14ac:dyDescent="0.25">
      <c r="A11" t="s">
        <v>47</v>
      </c>
      <c r="B11" s="18">
        <f>-B6*Assumptions!B10</f>
        <v>-16102774288.44605</v>
      </c>
      <c r="C11" s="18">
        <f>-C6*Assumptions!B10</f>
        <v>-14297114198.697077</v>
      </c>
      <c r="D11" s="18">
        <f>-D6*Assumptions!B10</f>
        <v>-12693929055.271587</v>
      </c>
      <c r="E11" s="18">
        <f>-E6*Assumptions!B10</f>
        <v>-11270514638.188509</v>
      </c>
      <c r="F11" s="18">
        <f>-F6*Assumptions!B10</f>
        <v>-10006712630.623234</v>
      </c>
    </row>
    <row r="12" spans="1:6" x14ac:dyDescent="0.25">
      <c r="A12" t="s">
        <v>48</v>
      </c>
      <c r="B12" s="18">
        <f>-(B6-Assumptions!B29)*Assumptions!B11</f>
        <v>1910027732.0921519</v>
      </c>
      <c r="C12" s="18">
        <f>-(C6-B6)*Assumptions!B11</f>
        <v>1695849679.020443</v>
      </c>
      <c r="D12" s="18">
        <f>-(D6-C6)*Assumptions!B11</f>
        <v>1505688155.9953105</v>
      </c>
      <c r="E12" s="18">
        <f>-(E6-D6)*Assumptions!B11</f>
        <v>1336850105.9681687</v>
      </c>
      <c r="F12" s="18">
        <f>-(F6-E6)*Assumptions!B11</f>
        <v>1186944453.74429</v>
      </c>
    </row>
    <row r="13" spans="1:6" x14ac:dyDescent="0.25">
      <c r="A13" s="19" t="s">
        <v>49</v>
      </c>
      <c r="B13" s="20">
        <f>B9+B10+B11+B12</f>
        <v>24205187441.986065</v>
      </c>
      <c r="C13" s="20">
        <f>C9+C10+C11+C12</f>
        <v>21490975583.45886</v>
      </c>
      <c r="D13" s="20">
        <f>D9+D10+D11+D12</f>
        <v>19081117741.219543</v>
      </c>
      <c r="E13" s="20">
        <f>E9+E10+E11+E12</f>
        <v>16941485640.815426</v>
      </c>
      <c r="F13" s="20">
        <f>F9+F10+F11+F12</f>
        <v>15041777929.913406</v>
      </c>
    </row>
    <row r="14" spans="1:6" x14ac:dyDescent="0.25">
      <c r="A14" t="s">
        <v>50</v>
      </c>
      <c r="B14" s="21">
        <f>1/(1+Assumptions!$B$26)^(1-0.5*Assumptions!$B$32)</f>
        <v>0.972260652445689</v>
      </c>
      <c r="C14" s="21">
        <f>1/(1+Assumptions!$B$26)^(2-0.5*Assumptions!$B$32)</f>
        <v>0.9190690269106099</v>
      </c>
      <c r="D14" s="21">
        <f>1/(1+Assumptions!$B$26)^(3-0.5*Assumptions!$B$32)</f>
        <v>0.868787473916209</v>
      </c>
      <c r="E14" s="21">
        <f>1/(1+Assumptions!$B$26)^(4-0.5*Assumptions!$B$32)</f>
        <v>0.8212567856528582</v>
      </c>
      <c r="F14" s="21">
        <f>1/(1+Assumptions!$B$26)^(5-0.5*Assumptions!$B$32)</f>
        <v>0.7763264644466014</v>
      </c>
    </row>
    <row r="15" spans="1:6" x14ac:dyDescent="0.25">
      <c r="A15" s="19" t="s">
        <v>51</v>
      </c>
      <c r="B15" s="20">
        <f>B13*B14</f>
        <v>23533751334.91557</v>
      </c>
      <c r="C15" s="20">
        <f>C13*C14</f>
        <v>19751690016.84921</v>
      </c>
      <c r="D15" s="20">
        <f>D13*D14</f>
        <v>16577436081.891888</v>
      </c>
      <c r="E15" s="20">
        <f>E13*E14</f>
        <v>13913310041.56013</v>
      </c>
      <c r="F15" s="20">
        <f>F13*F14</f>
        <v>11677330279.320593</v>
      </c>
    </row>
    <row r="17" spans="1:2" x14ac:dyDescent="0.25">
      <c r="A17" s="22" t="s">
        <v>52</v>
      </c>
      <c r="B17" s="23">
        <f>SUM(B15:F15)</f>
        <v>85453517754.53738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15041777929.913406</v>
      </c>
    </row>
    <row r="5" spans="1:2" x14ac:dyDescent="0.25">
      <c r="A5" t="s">
        <v>56</v>
      </c>
      <c r="B5" s="18">
        <f>IF(Assumptions!$B$33=0,B4,B4-Forecast!F11-Forecast!F10-Forecast!F12)</f>
        <v>13015871922.566923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0.25626722849600975</v>
      </c>
    </row>
    <row r="7" spans="1:2" x14ac:dyDescent="0.25">
      <c r="A7" t="s">
        <v>58</v>
      </c>
      <c r="B7" s="18">
        <f>-MAX(Forecast!F9,0)*B6</f>
        <v>-3335541424.0552554</v>
      </c>
    </row>
    <row r="8" spans="1:2" x14ac:dyDescent="0.25">
      <c r="A8" t="s">
        <v>59</v>
      </c>
      <c r="B8" s="18">
        <f>IF(OR(Assumptions!$B$33=0,Assumptions!B12&lt;=0),B5,MAX(B5+B7,0))</f>
        <v>9680330498.511667</v>
      </c>
    </row>
    <row r="9" spans="1:2" x14ac:dyDescent="0.25">
      <c r="A9" t="s">
        <v>60</v>
      </c>
      <c r="B9" s="18">
        <f>B8*(1+Assumptions!B12)/(Assumptions!B26-Assumptions!B12)</f>
        <v>301815139923.7461</v>
      </c>
    </row>
    <row r="10" spans="1:2" x14ac:dyDescent="0.25">
      <c r="A10" t="s">
        <v>61</v>
      </c>
      <c r="B10" s="18">
        <f>B9/(1+Assumptions!B26)^(5-0.5*Assumptions!B32)</f>
        <v>234307080493.4581</v>
      </c>
    </row>
    <row r="11" spans="1:2" x14ac:dyDescent="0.25">
      <c r="A11" t="s">
        <v>62</v>
      </c>
      <c r="B11" s="18">
        <f>Forecast!B17+B10</f>
        <v>319760598247.9955</v>
      </c>
    </row>
    <row r="12" spans="1:2" x14ac:dyDescent="0.25">
      <c r="A12" t="s">
        <v>63</v>
      </c>
      <c r="B12" s="18">
        <f>-Assumptions!B30</f>
        <v>-46013000000</v>
      </c>
    </row>
    <row r="13" spans="1:2" x14ac:dyDescent="0.25">
      <c r="A13" t="s">
        <v>64</v>
      </c>
      <c r="B13" s="18">
        <f>B11+B12</f>
        <v>273747598247.99548</v>
      </c>
    </row>
    <row r="14" spans="1:2" x14ac:dyDescent="0.25">
      <c r="A14" s="19" t="s">
        <v>65</v>
      </c>
      <c r="B14" s="24">
        <f>B13/Assumptions!B31</f>
        <v>46.018827664996046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28200170080.981327</v>
      </c>
    </row>
    <row r="18" spans="1:2" x14ac:dyDescent="0.25">
      <c r="A18" t="s">
        <v>60</v>
      </c>
      <c r="B18" s="18">
        <f>B17*Assumptions!B13</f>
        <v>159885475116.71878</v>
      </c>
    </row>
    <row r="19" spans="1:2" x14ac:dyDescent="0.25">
      <c r="A19" t="s">
        <v>61</v>
      </c>
      <c r="B19" s="18">
        <f>B18/(1+Assumptions!B26)^(5-0.5*Assumptions!B32)</f>
        <v>124123325613.72736</v>
      </c>
    </row>
    <row r="20" spans="1:2" x14ac:dyDescent="0.25">
      <c r="A20" t="s">
        <v>62</v>
      </c>
      <c r="B20" s="18">
        <f>Forecast!B17+B19</f>
        <v>209576843368.26474</v>
      </c>
    </row>
    <row r="21" spans="1:2" x14ac:dyDescent="0.25">
      <c r="A21" t="s">
        <v>63</v>
      </c>
      <c r="B21" s="18">
        <f>-Assumptions!B30</f>
        <v>-46013000000</v>
      </c>
    </row>
    <row r="22" spans="1:2" x14ac:dyDescent="0.25">
      <c r="A22" t="s">
        <v>64</v>
      </c>
      <c r="B22" s="18">
        <f>B20+B21</f>
        <v>163563843368.26474</v>
      </c>
    </row>
    <row r="23" spans="1:2" x14ac:dyDescent="0.25">
      <c r="A23" s="19" t="s">
        <v>65</v>
      </c>
      <c r="B23" s="25">
        <f>B22/Assumptions!B31</f>
        <v>27.496191266560995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41.315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40.05478759961255</v>
      </c>
    </row>
    <row r="29" spans="1:2" x14ac:dyDescent="0.25">
      <c r="A29" s="19" t="s">
        <v>73</v>
      </c>
      <c r="B29" s="12">
        <f>B28/B26-1</f>
        <v>-0.03050253903878608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0.037876</v>
      </c>
      <c r="B5" s="31">
        <v>76.73817032482714</v>
      </c>
      <c r="C5" s="31">
        <v>91.20246137485624</v>
      </c>
      <c r="D5" s="31">
        <v>116.82660134922884</v>
      </c>
      <c r="E5" s="31">
        <v>174.86474640146864</v>
      </c>
      <c r="F5" s="31">
        <v>434.37464206982656</v>
      </c>
    </row>
    <row r="6" spans="1:6" x14ac:dyDescent="0.25">
      <c r="A6" s="30">
        <v>0.047876</v>
      </c>
      <c r="B6" s="31">
        <v>53.24584911216837</v>
      </c>
      <c r="C6" s="31">
        <v>58.49796641369336</v>
      </c>
      <c r="D6" s="31">
        <v>66.00627111986739</v>
      </c>
      <c r="E6" s="31">
        <v>77.66396143329376</v>
      </c>
      <c r="F6" s="31">
        <v>98.30489756745371</v>
      </c>
    </row>
    <row r="7" spans="1:6" x14ac:dyDescent="0.25">
      <c r="A7" s="30">
        <v>0.057876</v>
      </c>
      <c r="B7" s="31">
        <v>40.65905095377232</v>
      </c>
      <c r="C7" s="31">
        <v>42.996388600863796</v>
      </c>
      <c r="D7" s="32">
        <v>46.01820013502941</v>
      </c>
      <c r="E7" s="31">
        <v>50.09279909860358</v>
      </c>
      <c r="F7" s="31">
        <v>55.910507726291954</v>
      </c>
    </row>
    <row r="8" spans="1:6" x14ac:dyDescent="0.25">
      <c r="A8" s="30">
        <v>0.067876</v>
      </c>
      <c r="B8" s="31">
        <v>32.79256818775162</v>
      </c>
      <c r="C8" s="31">
        <v>33.9207958335127</v>
      </c>
      <c r="D8" s="31">
        <v>35.29269719749485</v>
      </c>
      <c r="E8" s="31">
        <v>37.00477417465313</v>
      </c>
      <c r="F8" s="31">
        <v>39.21223525134966</v>
      </c>
    </row>
    <row r="9" spans="1:6" x14ac:dyDescent="0.25">
      <c r="A9" s="30">
        <v>0.077876</v>
      </c>
      <c r="B9" s="31">
        <v>27.395936977718332</v>
      </c>
      <c r="C9" s="31">
        <v>27.942403131799413</v>
      </c>
      <c r="D9" s="31">
        <v>28.577083568423333</v>
      </c>
      <c r="E9" s="31">
        <v>29.327616649987622</v>
      </c>
      <c r="F9" s="31">
        <v>30.234532968760774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266886000000</v>
      </c>
      <c r="C5" s="18">
        <v>284312000000</v>
      </c>
      <c r="D5" s="18">
        <v>316620000000</v>
      </c>
      <c r="E5" s="18">
        <v>381314000000</v>
      </c>
      <c r="F5" s="8" t="s">
        <v>84</v>
      </c>
    </row>
    <row r="6" spans="1:6" x14ac:dyDescent="0.25">
      <c r="A6" t="s">
        <v>44</v>
      </c>
      <c r="B6" s="18">
        <v>27582000000</v>
      </c>
      <c r="C6" s="18">
        <v>29992000000</v>
      </c>
      <c r="D6" s="18">
        <v>30737000000</v>
      </c>
      <c r="E6" s="18">
        <v>63109000000</v>
      </c>
      <c r="F6" s="8" t="s">
        <v>85</v>
      </c>
    </row>
    <row r="7" spans="1:6" x14ac:dyDescent="0.25">
      <c r="A7" t="s">
        <v>86</v>
      </c>
      <c r="B7" s="18">
        <v>22167000000</v>
      </c>
      <c r="C7" s="18">
        <v>22703000000</v>
      </c>
      <c r="D7" s="18">
        <v>23106000000</v>
      </c>
      <c r="E7" s="18">
        <v>22393000000</v>
      </c>
      <c r="F7" s="8" t="s">
        <v>87</v>
      </c>
    </row>
    <row r="8" spans="1:6" x14ac:dyDescent="0.25">
      <c r="A8" t="s">
        <v>88</v>
      </c>
      <c r="B8" s="18">
        <v>18947000000</v>
      </c>
      <c r="C8" s="18">
        <v>19601000000</v>
      </c>
      <c r="D8" s="18">
        <v>22993000000</v>
      </c>
      <c r="E8" s="18">
        <v>22600000000</v>
      </c>
      <c r="F8" s="8" t="s">
        <v>89</v>
      </c>
    </row>
    <row r="9" spans="1:6" x14ac:dyDescent="0.25">
      <c r="A9" t="s">
        <v>90</v>
      </c>
      <c r="B9" s="18">
        <v>1803000000</v>
      </c>
      <c r="C9" s="18">
        <v>-2062000000</v>
      </c>
      <c r="D9" s="18">
        <v>-7145000000</v>
      </c>
      <c r="E9" s="18">
        <v>5434000000</v>
      </c>
      <c r="F9" s="8" t="s">
        <v>91</v>
      </c>
    </row>
    <row r="10" spans="1:6" x14ac:dyDescent="0.25">
      <c r="A10" t="s">
        <v>92</v>
      </c>
      <c r="B10" s="18">
        <v>75643000000</v>
      </c>
      <c r="C10" s="18">
        <v>77078000000</v>
      </c>
      <c r="D10" s="18">
        <v>81541000000</v>
      </c>
      <c r="E10" s="18">
        <v>83795000000</v>
      </c>
      <c r="F10" s="8" t="s">
        <v>93</v>
      </c>
    </row>
    <row r="11" spans="1:6" x14ac:dyDescent="0.25">
      <c r="A11" t="s">
        <v>94</v>
      </c>
      <c r="B11" s="18">
        <v>29630000000</v>
      </c>
      <c r="C11" s="18">
        <v>37836000000</v>
      </c>
      <c r="D11" s="18">
        <v>38314000000</v>
      </c>
      <c r="E11" s="18">
        <v>40090000000</v>
      </c>
      <c r="F11" s="8" t="s">
        <v>95</v>
      </c>
    </row>
    <row r="12" spans="1:6" x14ac:dyDescent="0.25">
      <c r="A12" t="s">
        <v>32</v>
      </c>
      <c r="B12" s="34">
        <v>5948600000</v>
      </c>
      <c r="C12" s="34">
        <v>6363700000</v>
      </c>
      <c r="D12" s="34">
        <v>6799800000</v>
      </c>
      <c r="E12" s="34">
        <v>7410500000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