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<sst xmlns="http://schemas.openxmlformats.org/spreadsheetml/2006/main" count="112" uniqueCount="100">
  <si>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Sonic Healthcare Limited (SHL.AX)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</si>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</sst>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0.01056526909953548</v>
      </c>
    </row>
    <row r="7" spans="1:2" x14ac:dyDescent="0.25">
      <c r="A7" t="s">
        <v>5</v>
      </c>
      <c r="B7" s="6">
        <v>0.13421975451637896</v>
      </c>
    </row>
    <row r="8" spans="1:2" x14ac:dyDescent="0.25">
      <c r="A8" t="s">
        <v>6</v>
      </c>
      <c r="B8" s="6">
        <v>0.26307847992198946</v>
      </c>
    </row>
    <row r="9" spans="1:2" x14ac:dyDescent="0.25">
      <c r="A9" t="s">
        <v>7</v>
      </c>
      <c r="B9" s="6">
        <v>0.08263359431417092</v>
      </c>
    </row>
    <row r="10" spans="1:2" x14ac:dyDescent="0.25">
      <c r="A10" t="s">
        <v>8</v>
      </c>
      <c r="B10" s="6">
        <v>0.05365089136053549</v>
      </c>
    </row>
    <row r="11" spans="1:2" x14ac:dyDescent="0.25">
      <c r="A11" t="s">
        <v>9</v>
      </c>
      <c r="B11" s="6">
        <v>0.35222123669538774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8.1408817756037</v>
      </c>
    </row>
    <row r="14" spans="1:3" x14ac:dyDescent="0.25">
      <c r="A14" t="s">
        <v>12</v>
      </c>
      <c r="B14" s="6">
        <v>0.07645321602409136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0.09659599999999999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9509138432</v>
      </c>
    </row>
    <row r="23" spans="1:2" x14ac:dyDescent="0.25">
      <c r="A23" t="s">
        <v>24</v>
      </c>
      <c r="B23" s="11">
        <v>5170810000</v>
      </c>
    </row>
    <row r="24" spans="1:2" x14ac:dyDescent="0.25">
      <c r="A24" t="s">
        <v>25</v>
      </c>
      <c r="B24" s="10">
        <f>B22/(B22+B23)</f>
        <v>0.647763749038216</v>
      </c>
    </row>
    <row r="25" spans="1:2" x14ac:dyDescent="0.25">
      <c r="A25" t="s">
        <v>26</v>
      </c>
      <c r="B25" s="10">
        <f>1-B24</f>
        <v>0.352236250961784</v>
      </c>
    </row>
    <row r="26" spans="1:2" x14ac:dyDescent="0.25">
      <c r="A26" t="s">
        <v>27</v>
      </c>
      <c r="B26" s="12">
        <f>B24*B20+B25*B21*(1-B8)</f>
        <v>0.07645321602409136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9619183000</v>
      </c>
      <c r="C29" s="8" t="s">
        <v>30</v>
      </c>
    </row>
    <row r="30" spans="1:2" x14ac:dyDescent="0.25">
      <c r="A30" t="s">
        <v>31</v>
      </c>
      <c r="B30" s="11">
        <v>4497037000</v>
      </c>
    </row>
    <row r="31" spans="1:2" x14ac:dyDescent="0.25">
      <c r="A31" t="s">
        <v>32</v>
      </c>
      <c r="B31" s="13">
        <v>481346767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0.01056526909953548</v>
      </c>
      <c r="C5" s="10">
        <f>Assumptions!B6</f>
        <v>0.01056526909953548</v>
      </c>
      <c r="D5" s="10">
        <f>Assumptions!B6</f>
        <v>0.01056526909953548</v>
      </c>
      <c r="E5" s="10">
        <f>Assumptions!B6</f>
        <v>0.01056526909953548</v>
      </c>
      <c r="F5" s="10">
        <f>Assumptions!B6</f>
        <v>0.01056526909953548</v>
      </c>
    </row>
    <row r="6" spans="1:6" x14ac:dyDescent="0.25">
      <c r="A6" t="s">
        <v>43</v>
      </c>
      <c r="B6" s="18">
        <f>Assumptions!B29*(1+B5)</f>
        <v>9720812256.912678</v>
      </c>
      <c r="C6" s="18">
        <f>B6*(1+C5)</f>
        <v>9823515254.273024</v>
      </c>
      <c r="D6" s="18">
        <f>C6*(1+D5)</f>
        <v>9927303336.437809</v>
      </c>
      <c r="E6" s="18">
        <f>D6*(1+E5)</f>
        <v>10032187967.619991</v>
      </c>
      <c r="F6" s="18">
        <f>E6*(1+F5)</f>
        <v>10138180733.155018</v>
      </c>
    </row>
    <row r="7" spans="1:6" x14ac:dyDescent="0.25">
      <c r="A7" t="s">
        <v>5</v>
      </c>
      <c r="B7" s="10">
        <f>Assumptions!B7</f>
        <v>0.13421975451637896</v>
      </c>
      <c r="C7" s="10">
        <f>Assumptions!B7</f>
        <v>0.13421975451637896</v>
      </c>
      <c r="D7" s="10">
        <f>Assumptions!B7</f>
        <v>0.13421975451637896</v>
      </c>
      <c r="E7" s="10">
        <f>Assumptions!B7</f>
        <v>0.13421975451637896</v>
      </c>
      <c r="F7" s="10">
        <f>Assumptions!B7</f>
        <v>0.13421975451637896</v>
      </c>
    </row>
    <row r="8" spans="1:6" x14ac:dyDescent="0.25">
      <c r="A8" t="s">
        <v>44</v>
      </c>
      <c r="B8" s="18">
        <f>B6*B7</f>
        <v>1304725034.8226273</v>
      </c>
      <c r="C8" s="18">
        <f>C6*C7</f>
        <v>1318509805.9164293</v>
      </c>
      <c r="D8" s="18">
        <f>D6*D7</f>
        <v>1332440216.8263125</v>
      </c>
      <c r="E8" s="18">
        <f>E6*E7</f>
        <v>1346517806.2761261</v>
      </c>
      <c r="F8" s="18">
        <f>F6*F7</f>
        <v>1360744129.2467494</v>
      </c>
    </row>
    <row r="9" spans="1:6" x14ac:dyDescent="0.25">
      <c r="A9" t="s">
        <v>45</v>
      </c>
      <c r="B9" s="18">
        <f>B8*(1-Assumptions!B8)</f>
        <v>961479955.9453259</v>
      </c>
      <c r="C9" s="18">
        <f>C8*(1-Assumptions!B8)</f>
        <v>971638250.4136978</v>
      </c>
      <c r="D9" s="18">
        <f>D8*(1-Assumptions!B8)</f>
        <v>981903869.9967203</v>
      </c>
      <c r="E9" s="18">
        <f>E8*(1-Assumptions!B8)</f>
        <v>992277948.613111</v>
      </c>
      <c r="F9" s="18">
        <f>F8*(1-Assumptions!B8)</f>
        <v>1002761632.1617435</v>
      </c>
    </row>
    <row r="10" spans="1:6" x14ac:dyDescent="0.25">
      <c r="A10" t="s">
        <v>46</v>
      </c>
      <c r="B10" s="18">
        <f>B6*Assumptions!B9</f>
        <v>803265656.4419425</v>
      </c>
      <c r="C10" s="18">
        <f>C6*Assumptions!B9</f>
        <v>811752374.2606666</v>
      </c>
      <c r="D10" s="18">
        <f>D6*Assumptions!B9</f>
        <v>820328756.5369173</v>
      </c>
      <c r="E10" s="18">
        <f>E6*Assumptions!B9</f>
        <v>828995750.5998172</v>
      </c>
      <c r="F10" s="18">
        <f>F6*Assumptions!B9</f>
        <v>837754313.7872757</v>
      </c>
    </row>
    <row r="11" spans="1:6" x14ac:dyDescent="0.25">
      <c r="A11" t="s">
        <v>47</v>
      </c>
      <c r="B11" s="18">
        <f>-B6*Assumptions!B10</f>
        <v>-521530242.3317839</v>
      </c>
      <c r="C11" s="18">
        <f>-C6*Assumptions!B10</f>
        <v>-527040349.6855652</v>
      </c>
      <c r="D11" s="18">
        <f>-D6*Assumptions!B10</f>
        <v>-532608672.80630636</v>
      </c>
      <c r="E11" s="18">
        <f>-E6*Assumptions!B10</f>
        <v>-538235826.7592515</v>
      </c>
      <c r="F11" s="18">
        <f>-F6*Assumptions!B10</f>
        <v>-543922433.1079739</v>
      </c>
    </row>
    <row r="12" spans="1:6" x14ac:dyDescent="0.25">
      <c r="A12" t="s">
        <v>48</v>
      </c>
      <c r="B12" s="18">
        <f>-(B6-Assumptions!B29)*Assumptions!B11</f>
        <v>-35795982.554216646</v>
      </c>
      <c r="C12" s="18">
        <f>-(C6-B6)*Assumptions!B11</f>
        <v>-36174176.742584154</v>
      </c>
      <c r="D12" s="18">
        <f>-(D6-C6)*Assumptions!B11</f>
        <v>-36556366.65432322</v>
      </c>
      <c r="E12" s="18">
        <f>-(E6-D6)*Assumptions!B11</f>
        <v>-36942594.50532788</v>
      </c>
      <c r="F12" s="18">
        <f>-(F6-E6)*Assumptions!B11</f>
        <v>-37332902.95751132</v>
      </c>
    </row>
    <row r="13" spans="1:6" x14ac:dyDescent="0.25">
      <c r="A13" s="19" t="s">
        <v>49</v>
      </c>
      <c r="B13" s="20">
        <f>B9+B10+B11+B12</f>
        <v>1207419387.5012677</v>
      </c>
      <c r="C13" s="20">
        <f>C9+C10+C11+C12</f>
        <v>1220176098.246215</v>
      </c>
      <c r="D13" s="20">
        <f>D9+D10+D11+D12</f>
        <v>1233067587.073008</v>
      </c>
      <c r="E13" s="20">
        <f>E9+E10+E11+E12</f>
        <v>1246095277.9483488</v>
      </c>
      <c r="F13" s="20">
        <f>F9+F10+F11+F12</f>
        <v>1259260609.883534</v>
      </c>
    </row>
    <row r="14" spans="1:6" x14ac:dyDescent="0.25">
      <c r="A14" t="s">
        <v>50</v>
      </c>
      <c r="B14" s="21">
        <f>1/(1+Assumptions!$B$26)^(1-0.5*Assumptions!$B$32)</f>
        <v>0.9638343947855952</v>
      </c>
      <c r="C14" s="21">
        <f>1/(1+Assumptions!$B$26)^(2-0.5*Assumptions!$B$32)</f>
        <v>0.8953797345188331</v>
      </c>
      <c r="D14" s="21">
        <f>1/(1+Assumptions!$B$26)^(3-0.5*Assumptions!$B$32)</f>
        <v>0.8317869473472727</v>
      </c>
      <c r="E14" s="21">
        <f>1/(1+Assumptions!$B$26)^(4-0.5*Assumptions!$B$32)</f>
        <v>0.7727107271967656</v>
      </c>
      <c r="F14" s="21">
        <f>1/(1+Assumptions!$B$26)^(5-0.5*Assumptions!$B$32)</f>
        <v>0.7178302927560505</v>
      </c>
    </row>
    <row r="15" spans="1:6" x14ac:dyDescent="0.25">
      <c r="A15" s="19" t="s">
        <v>51</v>
      </c>
      <c r="B15" s="20">
        <f>B13*B14</f>
        <v>1163752334.6046784</v>
      </c>
      <c r="C15" s="20">
        <f>C13*C14</f>
        <v>1092520950.9139218</v>
      </c>
      <c r="D15" s="20">
        <f>D13*D14</f>
        <v>1025649524.1243247</v>
      </c>
      <c r="E15" s="20">
        <f>E13*E14</f>
        <v>962871188.3799243</v>
      </c>
      <c r="F15" s="20">
        <f>F13*F14</f>
        <v>903935412.2488599</v>
      </c>
    </row>
    <row r="17" spans="1:2" x14ac:dyDescent="0.25">
      <c r="A17" s="22" t="s">
        <v>52</v>
      </c>
      <c r="B17" s="23">
        <f>SUM(B15:F15)</f>
        <v>5148729410.271709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1259260609.883534</v>
      </c>
    </row>
    <row r="5" spans="1:2" x14ac:dyDescent="0.25">
      <c r="A5" t="s">
        <v>56</v>
      </c>
      <c r="B5" s="18">
        <f>IF(Assumptions!$B$33=0,B4,B4-Forecast!F11-Forecast!F10-Forecast!F12)</f>
        <v>1002761632.1617435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0.32699736257166984</v>
      </c>
    </row>
    <row r="7" spans="1:2" x14ac:dyDescent="0.25">
      <c r="A7" t="s">
        <v>58</v>
      </c>
      <c r="B7" s="18">
        <f>-MAX(Forecast!F9,0)*B6</f>
        <v>-327900409.0049531</v>
      </c>
    </row>
    <row r="8" spans="1:2" x14ac:dyDescent="0.25">
      <c r="A8" t="s">
        <v>59</v>
      </c>
      <c r="B8" s="18">
        <f>IF(OR(Assumptions!$B$33=0,Assumptions!B12&lt;=0),B5,MAX(B5+B7,0))</f>
        <v>674861223.1567905</v>
      </c>
    </row>
    <row r="9" spans="1:2" x14ac:dyDescent="0.25">
      <c r="A9" t="s">
        <v>60</v>
      </c>
      <c r="B9" s="18">
        <f>B8*(1+Assumptions!B12)/(Assumptions!B26-Assumptions!B12)</f>
        <v>13443916769.203075</v>
      </c>
    </row>
    <row r="10" spans="1:2" x14ac:dyDescent="0.25">
      <c r="A10" t="s">
        <v>61</v>
      </c>
      <c r="B10" s="18">
        <f>B9/(1+Assumptions!B26)^(5-0.5*Assumptions!B32)</f>
        <v>9650450710.22502</v>
      </c>
    </row>
    <row r="11" spans="1:2" x14ac:dyDescent="0.25">
      <c r="A11" t="s">
        <v>62</v>
      </c>
      <c r="B11" s="18">
        <f>Forecast!B17+B10</f>
        <v>14799180120.496729</v>
      </c>
    </row>
    <row r="12" spans="1:2" x14ac:dyDescent="0.25">
      <c r="A12" t="s">
        <v>63</v>
      </c>
      <c r="B12" s="18">
        <f>-Assumptions!B30</f>
        <v>-4497037000</v>
      </c>
    </row>
    <row r="13" spans="1:2" x14ac:dyDescent="0.25">
      <c r="A13" t="s">
        <v>64</v>
      </c>
      <c r="B13" s="18">
        <f>B11+B12</f>
        <v>10302143120.496729</v>
      </c>
    </row>
    <row r="14" spans="1:2" x14ac:dyDescent="0.25">
      <c r="A14" s="19" t="s">
        <v>65</v>
      </c>
      <c r="B14" s="24">
        <f>B13/Assumptions!B31</f>
        <v>21.40274709790817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2198498443.034025</v>
      </c>
    </row>
    <row r="18" spans="1:2" x14ac:dyDescent="0.25">
      <c r="A18" t="s">
        <v>60</v>
      </c>
      <c r="B18" s="18">
        <f>B17*Assumptions!B13</f>
        <v>17897715908.588806</v>
      </c>
    </row>
    <row r="19" spans="1:2" x14ac:dyDescent="0.25">
      <c r="A19" t="s">
        <v>61</v>
      </c>
      <c r="B19" s="18">
        <f>B18/(1+Assumptions!B26)^(5-0.5*Assumptions!B32)</f>
        <v>12847522650.326925</v>
      </c>
    </row>
    <row r="20" spans="1:2" x14ac:dyDescent="0.25">
      <c r="A20" t="s">
        <v>62</v>
      </c>
      <c r="B20" s="18">
        <f>Forecast!B17+B19</f>
        <v>17996252060.598633</v>
      </c>
    </row>
    <row r="21" spans="1:2" x14ac:dyDescent="0.25">
      <c r="A21" t="s">
        <v>63</v>
      </c>
      <c r="B21" s="18">
        <f>-Assumptions!B30</f>
        <v>-4497037000</v>
      </c>
    </row>
    <row r="22" spans="1:2" x14ac:dyDescent="0.25">
      <c r="A22" t="s">
        <v>64</v>
      </c>
      <c r="B22" s="18">
        <f>B20+B21</f>
        <v>13499215060.598633</v>
      </c>
    </row>
    <row r="23" spans="1:2" x14ac:dyDescent="0.25">
      <c r="A23" s="19" t="s">
        <v>65</v>
      </c>
      <c r="B23" s="25">
        <f>B22/Assumptions!B31</f>
        <v>28.04467794545015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21.40274709790817</v>
      </c>
    </row>
    <row r="29" spans="1:2" x14ac:dyDescent="0.25">
      <c r="A29" s="19" t="s">
        <v>73</v>
      </c>
      <c r="B29" s="12">
        <f>B28/B26-1</f>
        <v>0.11240889282266986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0.056453</v>
      </c>
      <c r="B5" s="31">
        <v>31.934047598163232</v>
      </c>
      <c r="C5" s="31">
        <v>32.51530187299127</v>
      </c>
      <c r="D5" s="31">
        <v>33.23915212355556</v>
      </c>
      <c r="E5" s="31">
        <v>34.18645646182999</v>
      </c>
      <c r="F5" s="31">
        <v>35.51345463589879</v>
      </c>
    </row>
    <row r="6" spans="1:6" x14ac:dyDescent="0.25">
      <c r="A6" s="30">
        <v>0.066453</v>
      </c>
      <c r="B6" s="31">
        <v>25.415120354616484</v>
      </c>
      <c r="C6" s="31">
        <v>25.532463390669257</v>
      </c>
      <c r="D6" s="31">
        <v>25.64980642672202</v>
      </c>
      <c r="E6" s="31">
        <v>25.767149462774785</v>
      </c>
      <c r="F6" s="31">
        <v>25.884492498827548</v>
      </c>
    </row>
    <row r="7" spans="1:6" x14ac:dyDescent="0.25">
      <c r="A7" s="30">
        <v>0.076453</v>
      </c>
      <c r="B7" s="31">
        <v>21.207227650892417</v>
      </c>
      <c r="C7" s="31">
        <v>21.305027299863</v>
      </c>
      <c r="D7" s="32">
        <v>21.40282694883357</v>
      </c>
      <c r="E7" s="31">
        <v>21.500626597804146</v>
      </c>
      <c r="F7" s="31">
        <v>21.598426246774718</v>
      </c>
    </row>
    <row r="8" spans="1:6" x14ac:dyDescent="0.25">
      <c r="A8" s="30">
        <v>0.086453</v>
      </c>
      <c r="B8" s="31">
        <v>17.963876048055802</v>
      </c>
      <c r="C8" s="31">
        <v>18.046838263262607</v>
      </c>
      <c r="D8" s="31">
        <v>18.129800478469413</v>
      </c>
      <c r="E8" s="31">
        <v>18.212762693676215</v>
      </c>
      <c r="F8" s="31">
        <v>18.295724908883017</v>
      </c>
    </row>
    <row r="9" spans="1:6" x14ac:dyDescent="0.25">
      <c r="A9" s="30">
        <v>0.096453</v>
      </c>
      <c r="B9" s="31">
        <v>15.385510565106696</v>
      </c>
      <c r="C9" s="31">
        <v>15.456867933105592</v>
      </c>
      <c r="D9" s="31">
        <v>15.528225301104474</v>
      </c>
      <c r="E9" s="31">
        <v>15.599582669103366</v>
      </c>
      <c r="F9" s="31">
        <v>15.670940037102254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9619183000</v>
      </c>
      <c r="C5" s="18">
        <v>8934198000</v>
      </c>
      <c r="D5" s="18">
        <v>8144998000</v>
      </c>
      <c r="E5" s="18">
        <v>9320626000</v>
      </c>
      <c r="F5" s="8" t="s">
        <v>84</v>
      </c>
    </row>
    <row r="6" spans="1:6" x14ac:dyDescent="0.25">
      <c r="A6" t="s">
        <v>44</v>
      </c>
      <c r="B6" s="18">
        <v>905109000</v>
      </c>
      <c r="C6" s="18">
        <v>816450000</v>
      </c>
      <c r="D6" s="18">
        <v>994263000</v>
      </c>
      <c r="E6" s="18">
        <v>2137496000</v>
      </c>
      <c r="F6" s="8" t="s">
        <v>85</v>
      </c>
    </row>
    <row r="7" spans="1:6" x14ac:dyDescent="0.25">
      <c r="A7" t="s">
        <v>86</v>
      </c>
      <c r="B7" s="18">
        <v>815365000</v>
      </c>
      <c r="C7" s="18">
        <v>777305000</v>
      </c>
      <c r="D7" s="18">
        <v>702928000</v>
      </c>
      <c r="E7" s="18">
        <v>675417000</v>
      </c>
      <c r="F7" s="8" t="s">
        <v>87</v>
      </c>
    </row>
    <row r="8" spans="1:6" x14ac:dyDescent="0.25">
      <c r="A8" t="s">
        <v>88</v>
      </c>
      <c r="B8" s="18">
        <v>462695000</v>
      </c>
      <c r="C8" s="18">
        <v>579501000</v>
      </c>
      <c r="D8" s="18">
        <v>497013000</v>
      </c>
      <c r="E8" s="18">
        <v>378589000</v>
      </c>
      <c r="F8" s="8" t="s">
        <v>89</v>
      </c>
    </row>
    <row r="9" spans="1:6" x14ac:dyDescent="0.25">
      <c r="A9" t="s">
        <v>90</v>
      </c>
      <c r="B9" s="18">
        <v>577572000</v>
      </c>
      <c r="C9" s="18">
        <v>277973000</v>
      </c>
      <c r="D9" s="18">
        <v>-153719000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5170810000</v>
      </c>
      <c r="C10" s="18">
        <v>7205768000</v>
      </c>
      <c r="D10" s="18">
        <v>4773941000</v>
      </c>
      <c r="E10" s="18">
        <v>4589671000</v>
      </c>
      <c r="F10" s="8" t="s">
        <v>93</v>
      </c>
    </row>
    <row r="11" spans="1:6" x14ac:dyDescent="0.25">
      <c r="A11" t="s">
        <v>94</v>
      </c>
      <c r="B11" s="18">
        <v>673773000</v>
      </c>
      <c r="C11" s="18">
        <v>645001000</v>
      </c>
      <c r="D11" s="18">
        <v>797994000</v>
      </c>
      <c r="E11" s="18">
        <v>779997000</v>
      </c>
      <c r="F11" s="8" t="s">
        <v>95</v>
      </c>
    </row>
    <row r="12" spans="1:6" x14ac:dyDescent="0.25">
      <c r="A12" t="s">
        <v>32</v>
      </c>
      <c r="B12" s="34">
        <v>481346767</v>
      </c>
      <c r="C12" s="34">
        <v>476766791</v>
      </c>
      <c r="D12" s="34">
        <v>472402759</v>
      </c>
      <c r="E12" s="34">
        <v>482831736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