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<sst xmlns="http://schemas.openxmlformats.org/spreadsheetml/2006/main" count="112" uniqueCount="100">
  <si>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Siemens Healthineers AG (SHL.DE)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</si>
  <si>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</si>
  <si>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</si>
  <si>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</si>
  <si>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</si>
  <si>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</si>
  <si>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</si>
  <si>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</si>
  <si>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</si>
  <si>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</si>
  <si>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</si>
  <si>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</si>
  <si>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</si>
  <si>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</si>
  <si>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</si>
  <si>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</si>
  <si>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</si>
  <si>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</si>
  <si>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</si>
  <si>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</si>
  <si>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</si>
  <si>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</si>
  <si>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67.4%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</si>
  <si>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</si>
  <si>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</si>
  <si>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</si>
  <si>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</si>
  <si>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</si>
  <si>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</si>
  <si>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</si>
  <si>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2024-09-30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</si>
  <si>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</si>
  <si>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</si>
  <si>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</si>
  <si>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</si>
  <si>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</si>
  <si>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</si>
  <si>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</si>
  <si>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</si>
  <si>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</si>
  <si>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</si>
  <si>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</si>
  <si>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</si>
  <si>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</si>
  <si>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</si>
  <si>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</si>
  <si>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</si>
  <si>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</si>
  <si>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</si>
  <si>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</si>
  <si>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</si>
  <si>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</si>
  <si>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</si>
  <si>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</si>
  <si>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</si>
  <si>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</si>
  <si>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</si>
  <si>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</si>
  <si>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</si>
  <si>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</si>
  <si>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</si>
  <si>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</si>
  <si>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</si>
  <si>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</si>
  <si>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</si>
  <si>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</si>
  <si>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</si>
  <si>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</si>
  <si>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</si>
  <si>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</si>
  <si>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</si>
  <si>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</si>
  <si>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</si>
  <si>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</si>
  <si>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</si>
  <si>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</si>
  <si>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</si>
  <si>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</si>
  <si>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</si>
  <si>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2024-09-30</t>
  </si>
  <si>
    <t>2023-09-30</t>
  </si>
  <si>
    <t>2022-09-30</t>
  </si>
  <si>
    <t>2021-09-30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</si>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</sst>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0.07508627055120409</v>
      </c>
    </row>
    <row r="7" spans="1:2" x14ac:dyDescent="0.25">
      <c r="A7" t="s">
        <v>5</v>
      </c>
      <c r="B7" s="6">
        <v>0.12533624728575352</v>
      </c>
    </row>
    <row r="8" spans="1:2" x14ac:dyDescent="0.25">
      <c r="A8" t="s">
        <v>6</v>
      </c>
      <c r="B8" s="6">
        <v>0.24498598607100391</v>
      </c>
    </row>
    <row r="9" spans="1:2" x14ac:dyDescent="0.25">
      <c r="A9" t="s">
        <v>7</v>
      </c>
      <c r="B9" s="6">
        <v>0.06152180835937816</v>
      </c>
    </row>
    <row r="10" spans="1:2" x14ac:dyDescent="0.25">
      <c r="A10" t="s">
        <v>8</v>
      </c>
      <c r="B10" s="6">
        <v>0.036616004492958036</v>
      </c>
    </row>
    <row r="11" spans="1:2" x14ac:dyDescent="0.25">
      <c r="A11" t="s">
        <v>9</v>
      </c>
      <c r="B11" s="6">
        <v>0.22356739305891848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9.989371380952381</v>
      </c>
    </row>
    <row r="14" spans="1:3" x14ac:dyDescent="0.25">
      <c r="A14" t="s">
        <v>12</v>
      </c>
      <c r="B14" s="6">
        <v>0.11338404040261871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0.88945</v>
      </c>
      <c r="C19" s="8" t="s">
        <v>19</v>
      </c>
    </row>
    <row r="20" spans="1:2" x14ac:dyDescent="0.25">
      <c r="A20" t="s">
        <v>20</v>
      </c>
      <c r="B20" s="10">
        <f>B17+B19*B18</f>
        <v>0.079367</v>
      </c>
    </row>
    <row r="21" spans="1:3" x14ac:dyDescent="0.25">
      <c r="A21" t="s">
        <v>21</v>
      </c>
      <c r="B21" s="6">
        <v>0.046</v>
      </c>
      <c r="C21" s="8" t="s">
        <v>22</v>
      </c>
    </row>
    <row r="22" spans="1:2" x14ac:dyDescent="0.25">
      <c r="A22" t="s">
        <v>23</v>
      </c>
      <c r="B22" s="11">
        <v>42272145408</v>
      </c>
    </row>
    <row r="23" spans="1:2" x14ac:dyDescent="0.25">
      <c r="A23" t="s">
        <v>24</v>
      </c>
      <c r="B23" s="11">
        <v>780000000</v>
      </c>
    </row>
    <row r="24" spans="1:2" x14ac:dyDescent="0.25">
      <c r="A24" t="s">
        <v>25</v>
      </c>
      <c r="B24" s="10">
        <f>B22/(B22+B23)</f>
        <v>0.981882435994582</v>
      </c>
    </row>
    <row r="25" spans="1:2" x14ac:dyDescent="0.25">
      <c r="A25" t="s">
        <v>26</v>
      </c>
      <c r="B25" s="10">
        <f>1-B24</f>
        <v>0.018117564005417974</v>
      </c>
    </row>
    <row r="26" spans="1:2" x14ac:dyDescent="0.25">
      <c r="A26" t="s">
        <v>27</v>
      </c>
      <c r="B26" s="12">
        <f>B24*B20+B25*B21*(1-B8)</f>
        <v>0.0785582979748099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22363000000</v>
      </c>
      <c r="C29" s="8" t="s">
        <v>30</v>
      </c>
    </row>
    <row r="30" spans="1:2" x14ac:dyDescent="0.25">
      <c r="A30" t="s">
        <v>31</v>
      </c>
      <c r="B30" s="11">
        <v>-1995000000</v>
      </c>
    </row>
    <row r="31" spans="1:2" x14ac:dyDescent="0.25">
      <c r="A31" t="s">
        <v>32</v>
      </c>
      <c r="B31" s="13">
        <v>1123447000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0.07508627055120409</v>
      </c>
      <c r="C5" s="10">
        <f>Assumptions!B6</f>
        <v>0.07508627055120409</v>
      </c>
      <c r="D5" s="10">
        <f>Assumptions!B6</f>
        <v>0.07508627055120409</v>
      </c>
      <c r="E5" s="10">
        <f>Assumptions!B6</f>
        <v>0.07508627055120409</v>
      </c>
      <c r="F5" s="10">
        <f>Assumptions!B6</f>
        <v>0.07508627055120409</v>
      </c>
    </row>
    <row r="6" spans="1:6" x14ac:dyDescent="0.25">
      <c r="A6" t="s">
        <v>43</v>
      </c>
      <c r="B6" s="18">
        <f>Assumptions!B29*(1+B5)</f>
        <v>24042154268.33658</v>
      </c>
      <c r="C6" s="18">
        <f>B6*(1+C5)</f>
        <v>25847389968.362686</v>
      </c>
      <c r="D6" s="18">
        <f>C6*(1+D5)</f>
        <v>27788174084.569645</v>
      </c>
      <c r="E6" s="18">
        <f>D6*(1+E5)</f>
        <v>29874684442.0076</v>
      </c>
      <c r="F6" s="18">
        <f>E6*(1+F5)</f>
        <v>32117863080.65203</v>
      </c>
    </row>
    <row r="7" spans="1:6" x14ac:dyDescent="0.25">
      <c r="A7" t="s">
        <v>5</v>
      </c>
      <c r="B7" s="10">
        <f>Assumptions!B7</f>
        <v>0.12533624728575352</v>
      </c>
      <c r="C7" s="10">
        <f>Assumptions!B7</f>
        <v>0.12533624728575352</v>
      </c>
      <c r="D7" s="10">
        <f>Assumptions!B7</f>
        <v>0.12533624728575352</v>
      </c>
      <c r="E7" s="10">
        <f>Assumptions!B7</f>
        <v>0.12533624728575352</v>
      </c>
      <c r="F7" s="10">
        <f>Assumptions!B7</f>
        <v>0.12533624728575352</v>
      </c>
    </row>
    <row r="8" spans="1:6" x14ac:dyDescent="0.25">
      <c r="A8" t="s">
        <v>44</v>
      </c>
      <c r="B8" s="18">
        <f>B6*B7</f>
        <v>3013353392.658468</v>
      </c>
      <c r="C8" s="18">
        <f>C6*C7</f>
        <v>3239614860.7660103</v>
      </c>
      <c r="D8" s="18">
        <f>D6*D7</f>
        <v>3482865458.6831884</v>
      </c>
      <c r="E8" s="18">
        <f>E6*E7</f>
        <v>3744380836.8073177</v>
      </c>
      <c r="F8" s="18">
        <f>F6*F7</f>
        <v>4025532429.366576</v>
      </c>
    </row>
    <row r="9" spans="1:6" x14ac:dyDescent="0.25">
      <c r="A9" t="s">
        <v>45</v>
      </c>
      <c r="B9" s="18">
        <f>B8*(1-Assumptions!B8)</f>
        <v>2275124040.377628</v>
      </c>
      <c r="C9" s="18">
        <f>C8*(1-Assumptions!B8)</f>
        <v>2445954619.610971</v>
      </c>
      <c r="D9" s="18">
        <f>D8*(1-Assumptions!B8)</f>
        <v>2629612229.935048</v>
      </c>
      <c r="E9" s="18">
        <f>E8*(1-Assumptions!B8)</f>
        <v>2827060005.276706</v>
      </c>
      <c r="F9" s="18">
        <f>F8*(1-Assumptions!B8)</f>
        <v>3039333397.6974015</v>
      </c>
    </row>
    <row r="10" spans="1:6" x14ac:dyDescent="0.25">
      <c r="A10" t="s">
        <v>46</v>
      </c>
      <c r="B10" s="18">
        <f>B6*Assumptions!B9</f>
        <v>1479116807.4432087</v>
      </c>
      <c r="C10" s="18">
        <f>C6*Assumptions!B9</f>
        <v>1590178172.2237227</v>
      </c>
      <c r="D10" s="18">
        <f>D6*Assumptions!B9</f>
        <v>1709578720.6879325</v>
      </c>
      <c r="E10" s="18">
        <f>E6*Assumptions!B9</f>
        <v>1837944611.0380878</v>
      </c>
      <c r="F10" s="18">
        <f>F6*Assumptions!B9</f>
        <v>1975949017.3606215</v>
      </c>
    </row>
    <row r="11" spans="1:6" x14ac:dyDescent="0.25">
      <c r="A11" t="s">
        <v>47</v>
      </c>
      <c r="B11" s="18">
        <f>-B6*Assumptions!B10</f>
        <v>-880327628.7098024</v>
      </c>
      <c r="C11" s="18">
        <f>-C6*Assumptions!B10</f>
        <v>-946428147.2128066</v>
      </c>
      <c r="D11" s="18">
        <f>-D6*Assumptions!B10</f>
        <v>-1017491907.1317022</v>
      </c>
      <c r="E11" s="18">
        <f>-E6*Assumptions!B10</f>
        <v>-1093891579.7542539</v>
      </c>
      <c r="F11" s="18">
        <f>-F6*Assumptions!B10</f>
        <v>-1176027818.8653657</v>
      </c>
    </row>
    <row r="12" spans="1:6" x14ac:dyDescent="0.25">
      <c r="A12" t="s">
        <v>48</v>
      </c>
      <c r="B12" s="18">
        <f>-(B6-Assumptions!B29)*Assumptions!B11</f>
        <v>-375404142.3157645</v>
      </c>
      <c r="C12" s="18">
        <f>-(C6-B6)*Assumptions!B11</f>
        <v>-403591839.3117287</v>
      </c>
      <c r="D12" s="18">
        <f>-(D6-C6)*Assumptions!B11</f>
        <v>-433896045.3505469</v>
      </c>
      <c r="E12" s="18">
        <f>-(E6-D6)*Assumptions!B11</f>
        <v>-466475681.20283556</v>
      </c>
      <c r="F12" s="18">
        <f>-(F6-E6)*Assumptions!B11</f>
        <v>-501501600.4071894</v>
      </c>
    </row>
    <row r="13" spans="1:6" x14ac:dyDescent="0.25">
      <c r="A13" s="19" t="s">
        <v>49</v>
      </c>
      <c r="B13" s="20">
        <f>B9+B10+B11+B12</f>
        <v>2498509076.79527</v>
      </c>
      <c r="C13" s="20">
        <f>C9+C10+C11+C12</f>
        <v>2686112805.3101587</v>
      </c>
      <c r="D13" s="20">
        <f>D9+D10+D11+D12</f>
        <v>2887802998.140731</v>
      </c>
      <c r="E13" s="20">
        <f>E9+E10+E11+E12</f>
        <v>3104637355.357705</v>
      </c>
      <c r="F13" s="20">
        <f>F9+F10+F11+F12</f>
        <v>3337752995.785468</v>
      </c>
    </row>
    <row r="14" spans="1:6" x14ac:dyDescent="0.25">
      <c r="A14" t="s">
        <v>50</v>
      </c>
      <c r="B14" s="21">
        <f>1/(1+Assumptions!$B$26)^(1-0.5*Assumptions!$B$32)</f>
        <v>0.9628933509112105</v>
      </c>
      <c r="C14" s="21">
        <f>1/(1+Assumptions!$B$26)^(2-0.5*Assumptions!$B$32)</f>
        <v>0.8927596706818897</v>
      </c>
      <c r="D14" s="21">
        <f>1/(1+Assumptions!$B$26)^(3-0.5*Assumptions!$B$32)</f>
        <v>0.8277342748724932</v>
      </c>
      <c r="E14" s="21">
        <f>1/(1+Assumptions!$B$26)^(4-0.5*Assumptions!$B$32)</f>
        <v>0.767445094462409</v>
      </c>
      <c r="F14" s="21">
        <f>1/(1+Assumptions!$B$26)^(5-0.5*Assumptions!$B$32)</f>
        <v>0.7115471605970928</v>
      </c>
    </row>
    <row r="15" spans="1:6" x14ac:dyDescent="0.25">
      <c r="A15" s="19" t="s">
        <v>51</v>
      </c>
      <c r="B15" s="20">
        <f>B13*B14</f>
        <v>2405797777.2374725</v>
      </c>
      <c r="C15" s="20">
        <f>C13*C14</f>
        <v>2398053183.483104</v>
      </c>
      <c r="D15" s="20">
        <f>D13*D14</f>
        <v>2390333520.64063</v>
      </c>
      <c r="E15" s="20">
        <f>E13*E14</f>
        <v>2382638708.4540176</v>
      </c>
      <c r="F15" s="20">
        <f>F13*F14</f>
        <v>2374968666.92559</v>
      </c>
    </row>
    <row r="17" spans="1:2" x14ac:dyDescent="0.25">
      <c r="A17" s="22" t="s">
        <v>52</v>
      </c>
      <c r="B17" s="23">
        <f>SUM(B15:F15)</f>
        <v>11951791856.740814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3337752995.785468</v>
      </c>
    </row>
    <row r="5" spans="1:2" x14ac:dyDescent="0.25">
      <c r="A5" t="s">
        <v>56</v>
      </c>
      <c r="B5" s="18">
        <f>IF(Assumptions!$B$33=0,B4,B4-Forecast!F11-Forecast!F10-Forecast!F12)</f>
        <v>3685790654.4367986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0.22048958487655554</v>
      </c>
    </row>
    <row r="7" spans="1:2" x14ac:dyDescent="0.25">
      <c r="A7" t="s">
        <v>58</v>
      </c>
      <c r="B7" s="18">
        <f>-MAX(Forecast!F9,0)*B6</f>
        <v>-812678451.3386577</v>
      </c>
    </row>
    <row r="8" spans="1:2" x14ac:dyDescent="0.25">
      <c r="A8" t="s">
        <v>59</v>
      </c>
      <c r="B8" s="18">
        <f>IF(OR(Assumptions!$B$33=0,Assumptions!B12&lt;=0),B5,MAX(B5+B7,0))</f>
        <v>2873112203.0981407</v>
      </c>
    </row>
    <row r="9" spans="1:2" x14ac:dyDescent="0.25">
      <c r="A9" t="s">
        <v>60</v>
      </c>
      <c r="B9" s="18">
        <f>B8*(1+Assumptions!B12)/(Assumptions!B26-Assumptions!B12)</f>
        <v>54985690724.53888</v>
      </c>
    </row>
    <row r="10" spans="1:2" x14ac:dyDescent="0.25">
      <c r="A10" t="s">
        <v>61</v>
      </c>
      <c r="B10" s="18">
        <f>B9/(1+Assumptions!B26)^(5-0.5*Assumptions!B32)</f>
        <v>39124912108.51554</v>
      </c>
    </row>
    <row r="11" spans="1:2" x14ac:dyDescent="0.25">
      <c r="A11" t="s">
        <v>62</v>
      </c>
      <c r="B11" s="18">
        <f>Forecast!B17+B10</f>
        <v>51076703965.256355</v>
      </c>
    </row>
    <row r="12" spans="1:2" x14ac:dyDescent="0.25">
      <c r="A12" t="s">
        <v>63</v>
      </c>
      <c r="B12" s="18">
        <f>-Assumptions!B30</f>
        <v>1995000000</v>
      </c>
    </row>
    <row r="13" spans="1:2" x14ac:dyDescent="0.25">
      <c r="A13" t="s">
        <v>64</v>
      </c>
      <c r="B13" s="18">
        <f>B11+B12</f>
        <v>53071703965.256355</v>
      </c>
    </row>
    <row r="14" spans="1:2" x14ac:dyDescent="0.25">
      <c r="A14" s="19" t="s">
        <v>65</v>
      </c>
      <c r="B14" s="24">
        <f>B13/Assumptions!B31</f>
        <v>47.240060247841114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6001481446.727198</v>
      </c>
    </row>
    <row r="18" spans="1:2" x14ac:dyDescent="0.25">
      <c r="A18" t="s">
        <v>60</v>
      </c>
      <c r="B18" s="18">
        <f>B17*Assumptions!B13</f>
        <v>59951027007.25336</v>
      </c>
    </row>
    <row r="19" spans="1:2" x14ac:dyDescent="0.25">
      <c r="A19" t="s">
        <v>61</v>
      </c>
      <c r="B19" s="18">
        <f>B18/(1+Assumptions!B26)^(5-0.5*Assumptions!B32)</f>
        <v>42657983041.89075</v>
      </c>
    </row>
    <row r="20" spans="1:2" x14ac:dyDescent="0.25">
      <c r="A20" t="s">
        <v>62</v>
      </c>
      <c r="B20" s="18">
        <f>Forecast!B17+B19</f>
        <v>54609774898.63156</v>
      </c>
    </row>
    <row r="21" spans="1:2" x14ac:dyDescent="0.25">
      <c r="A21" t="s">
        <v>63</v>
      </c>
      <c r="B21" s="18">
        <f>-Assumptions!B30</f>
        <v>1995000000</v>
      </c>
    </row>
    <row r="22" spans="1:2" x14ac:dyDescent="0.25">
      <c r="A22" t="s">
        <v>64</v>
      </c>
      <c r="B22" s="18">
        <f>B20+B21</f>
        <v>56604774898.63156</v>
      </c>
    </row>
    <row r="23" spans="1:2" x14ac:dyDescent="0.25">
      <c r="A23" s="19" t="s">
        <v>65</v>
      </c>
      <c r="B23" s="25">
        <f>B22/Assumptions!B31</f>
        <v>50.384909033209006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37.77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47.240060247841114</v>
      </c>
    </row>
    <row r="29" spans="1:2" x14ac:dyDescent="0.25">
      <c r="A29" s="19" t="s">
        <v>73</v>
      </c>
      <c r="B29" s="12">
        <f>B28/B26-1</f>
        <v>0.2507296862017767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0.058558</v>
      </c>
      <c r="B5" s="31">
        <v>64.27560939834393</v>
      </c>
      <c r="C5" s="31">
        <v>68.2574956782349</v>
      </c>
      <c r="D5" s="31">
        <v>73.39257822633311</v>
      </c>
      <c r="E5" s="31">
        <v>80.28656976842852</v>
      </c>
      <c r="F5" s="31">
        <v>90.05941405653562</v>
      </c>
    </row>
    <row r="6" spans="1:6" x14ac:dyDescent="0.25">
      <c r="A6" s="30">
        <v>0.068558</v>
      </c>
      <c r="B6" s="31">
        <v>52.69665629684572</v>
      </c>
      <c r="C6" s="31">
        <v>54.78119527711263</v>
      </c>
      <c r="D6" s="31">
        <v>57.31965508128444</v>
      </c>
      <c r="E6" s="31">
        <v>60.488621952386616</v>
      </c>
      <c r="F6" s="31">
        <v>64.56992454540318</v>
      </c>
    </row>
    <row r="7" spans="1:6" x14ac:dyDescent="0.25">
      <c r="A7" s="30">
        <v>0.078558</v>
      </c>
      <c r="B7" s="31">
        <v>44.76254730585758</v>
      </c>
      <c r="C7" s="31">
        <v>45.90443368498136</v>
      </c>
      <c r="D7" s="32">
        <v>47.24030462946321</v>
      </c>
      <c r="E7" s="31">
        <v>48.830083704531795</v>
      </c>
      <c r="F7" s="31">
        <v>50.76120885405044</v>
      </c>
    </row>
    <row r="8" spans="1:6" x14ac:dyDescent="0.25">
      <c r="A8" s="30">
        <v>0.088558</v>
      </c>
      <c r="B8" s="31">
        <v>38.98673493376698</v>
      </c>
      <c r="C8" s="31">
        <v>39.61470960264754</v>
      </c>
      <c r="D8" s="31">
        <v>40.32594972001568</v>
      </c>
      <c r="E8" s="31">
        <v>41.141784254198804</v>
      </c>
      <c r="F8" s="31">
        <v>42.091506984879175</v>
      </c>
    </row>
    <row r="9" spans="1:6" x14ac:dyDescent="0.25">
      <c r="A9" s="30">
        <v>0.098558</v>
      </c>
      <c r="B9" s="31">
        <v>34.59429571591524</v>
      </c>
      <c r="C9" s="31">
        <v>34.92422990986768</v>
      </c>
      <c r="D9" s="31">
        <v>35.28613335725348</v>
      </c>
      <c r="E9" s="31">
        <v>35.68700070204567</v>
      </c>
      <c r="F9" s="31">
        <v>36.13602761530208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22363000000</v>
      </c>
      <c r="C5" s="18">
        <v>21680000000</v>
      </c>
      <c r="D5" s="18">
        <v>21714000000</v>
      </c>
      <c r="E5" s="18">
        <v>17997000000</v>
      </c>
      <c r="F5" s="8" t="s">
        <v>84</v>
      </c>
    </row>
    <row r="6" spans="1:6" x14ac:dyDescent="0.25">
      <c r="A6" t="s">
        <v>44</v>
      </c>
      <c r="B6" s="18">
        <v>2809000000</v>
      </c>
      <c r="C6" s="18">
        <v>2133000000</v>
      </c>
      <c r="D6" s="18">
        <v>2924000000</v>
      </c>
      <c r="E6" s="18">
        <v>2568000000</v>
      </c>
      <c r="F6" s="8" t="s">
        <v>85</v>
      </c>
    </row>
    <row r="7" spans="1:6" x14ac:dyDescent="0.25">
      <c r="A7" t="s">
        <v>86</v>
      </c>
      <c r="B7" s="18">
        <v>1223000000</v>
      </c>
      <c r="C7" s="18">
        <v>1557000000</v>
      </c>
      <c r="D7" s="18">
        <v>1343000000</v>
      </c>
      <c r="E7" s="18">
        <v>1039000000</v>
      </c>
      <c r="F7" s="8" t="s">
        <v>87</v>
      </c>
    </row>
    <row r="8" spans="1:6" x14ac:dyDescent="0.25">
      <c r="A8" t="s">
        <v>88</v>
      </c>
      <c r="B8" s="18">
        <v>696000000</v>
      </c>
      <c r="C8" s="18">
        <v>838000000</v>
      </c>
      <c r="D8" s="18">
        <v>852000000</v>
      </c>
      <c r="E8" s="18">
        <v>674000000</v>
      </c>
      <c r="F8" s="8" t="s">
        <v>89</v>
      </c>
    </row>
    <row r="9" spans="1:6" x14ac:dyDescent="0.25">
      <c r="A9" t="s">
        <v>90</v>
      </c>
      <c r="B9" s="18">
        <v>341000000</v>
      </c>
      <c r="C9" s="18">
        <v>602000000</v>
      </c>
      <c r="D9" s="18">
        <v>831000000</v>
      </c>
      <c r="E9" s="18">
        <v>-354000000</v>
      </c>
      <c r="F9" s="8" t="s">
        <v>91</v>
      </c>
    </row>
    <row r="10" spans="1:6" x14ac:dyDescent="0.25">
      <c r="A10" t="s">
        <v>92</v>
      </c>
      <c r="B10" s="18">
        <v>780000000</v>
      </c>
      <c r="C10" s="18">
        <v>633000000</v>
      </c>
      <c r="D10" s="18">
        <v>694000000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2775000000</v>
      </c>
      <c r="C11" s="18">
        <v>2371000000</v>
      </c>
      <c r="D11" s="18">
        <v>1598000000</v>
      </c>
      <c r="E11" s="18">
        <v>1322000000</v>
      </c>
      <c r="F11" s="8" t="s">
        <v>95</v>
      </c>
    </row>
    <row r="12" spans="1:6" x14ac:dyDescent="0.25">
      <c r="A12" t="s">
        <v>32</v>
      </c>
      <c r="B12" s="34">
        <v>1123447000</v>
      </c>
      <c r="C12" s="34">
        <v>1123552000</v>
      </c>
      <c r="D12" s="34">
        <v>1127746000</v>
      </c>
      <c r="E12" s="34">
        <v>1128000000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2026-09-19T00:09:37Z</dcterms:modified>
</cp:coreProperties>
</file>