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<sst xmlns="http://schemas.openxmlformats.org/spreadsheetml/2006/main" count="116" uniqueCount="104">
  <si>
    <t>Shopify Inc. (SHOP.TO)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</si>
  <si>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</si>
  <si>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</si>
  <si>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</si>
  <si>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</si>
  <si>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</si>
  <si>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</si>
  <si>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</si>
  <si>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</si>
  <si>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</si>
  <si>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</si>
  <si>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</si>
  <si>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</si>
  <si>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</si>
  <si>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</si>
  <si>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</si>
  <si>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CAD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</si>
  <si>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</si>
  <si>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</si>
  <si>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</si>
  <si>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</si>
  <si>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</si>
  <si>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Assumed: risk-free + 2bp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</si>
  <si>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</si>
  <si>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</si>
  <si>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</si>
  <si>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</si>
  <si>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</si>
  <si>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</si>
  <si>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</si>
  <si>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</si>
  <si>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</si>
  <si>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</si>
  <si>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</si>
  <si>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</si>
  <si>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</si>
  <si>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</si>
  <si>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</si>
  <si>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</si>
  <si>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</si>
  <si>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</si>
  <si>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</si>
  <si>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</si>
  <si>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</si>
  <si>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</si>
  <si>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</si>
  <si>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</si>
  <si>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</si>
  <si>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</si>
  <si>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</si>
  <si>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</si>
  <si>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</si>
  <si>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</si>
  <si>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</si>
  <si>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</si>
  <si>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</si>
  <si>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</si>
  <si>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</si>
  <si>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</si>
  <si>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</si>
  <si>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</si>
  <si>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</si>
  <si>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</si>
  <si>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</si>
  <si>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</si>
  <si>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</si>
  <si>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</si>
  <si>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</si>
  <si>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</si>
  <si>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(CAD)</t>
  </si>
  <si>
    <t>Conversion, USD to CAD</t>
  </si>
  <si>
    <t>USD/CAD at 1.3982</t>
  </si>
  <si>
    <t>Value per share (CAD)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</si>
  <si>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</si>
  <si>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</si>
  <si>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</si>
  <si>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</si>
  <si>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</si>
  <si>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</si>
  <si>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</si>
  <si>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</si>
  <si>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</si>
  <si>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</si>
  <si>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</si>
  <si>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</si>
  <si>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</si>
  <si>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</si>
  <si>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</si>
  <si>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</si>
  <si>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</si>
  <si>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</si>
  <si>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</si>
  <si>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</si>
  <si>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</si>
  <si>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</si>
  <si>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</si>
  <si>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</si>
  <si>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</si>
  <si>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model values the shares at 8.7% of the market price. A gap that size is a modelling failure rather than a view - most often an unusable beta, a currency or units mismatch, or a cashflow base that does not represent the business. Read the figures below as diagnostics, not as a call.</t>
  </si>
  <si>
    <t>Adjusted: Reports in USD, trades in CAD. Modelled in USD, converted at the end.</t>
  </si>
  <si>
    <t>Adjusted: Reported capital expenditure averages just 0.47% of revenue, which is too low to be the company's real investment - property trusts and similar structures invest through lines that are not reported as capex. Capex has been set to 1.00% of revenue so the forecast is not handed free growth. Override it if the reported figure is right.</t>
  </si>
  <si>
    <t>Note: Risk-free rate is an assumption: CAD assumption - no free live source available for this market.</t>
  </si>
  <si>
    <t>Current EV/EBITDA of 118.6x sits outside a defensible 3-20x band, so the exit multiple is capped at 20.0x. A multiple that far out usually means EBITDA is the wrong denominator for this business.</t>
  </si>
  <si>
    <t>Data: Yahoo Finance. Risk-free rate: CAD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</si>
</sst>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0.27313122172024773</v>
      </c>
    </row>
    <row r="7" spans="1:2" x14ac:dyDescent="0.25">
      <c r="A7" t="s">
        <v>5</v>
      </c>
      <c r="B7" s="6">
        <v>0.049385840699538705</v>
      </c>
    </row>
    <row r="8" spans="1:2" x14ac:dyDescent="0.25">
      <c r="A8" t="s">
        <v>6</v>
      </c>
      <c r="B8" s="6">
        <v>0.18422796554009277</v>
      </c>
    </row>
    <row r="9" spans="1:2" x14ac:dyDescent="0.25">
      <c r="A9" t="s">
        <v>7</v>
      </c>
      <c r="B9" s="6">
        <v>0.008314700051672532</v>
      </c>
    </row>
    <row r="10" spans="1:2" x14ac:dyDescent="0.25">
      <c r="A10" t="s">
        <v>8</v>
      </c>
      <c r="B10" s="6">
        <v>0.01</v>
      </c>
    </row>
    <row r="11" spans="1:2" x14ac:dyDescent="0.25">
      <c r="A11" t="s">
        <v>9</v>
      </c>
      <c r="B11" s="6">
        <v>0.043721973094170405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0.14746539999070737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0.033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2.08272</v>
      </c>
      <c r="C19" s="8" t="s">
        <v>19</v>
      </c>
    </row>
    <row r="20" spans="1:2" x14ac:dyDescent="0.25">
      <c r="A20" t="s">
        <v>20</v>
      </c>
      <c r="B20" s="10">
        <f>B17+B19*B18</f>
        <v>0.1475496</v>
      </c>
    </row>
    <row r="21" spans="1:3" x14ac:dyDescent="0.25">
      <c r="A21" t="s">
        <v>21</v>
      </c>
      <c r="B21" s="6">
        <v>0.053000000000000005</v>
      </c>
      <c r="C21" s="8" t="s">
        <v>22</v>
      </c>
    </row>
    <row r="22" spans="1:2" x14ac:dyDescent="0.25">
      <c r="A22" t="s">
        <v>23</v>
      </c>
      <c r="B22" s="11">
        <v>232721383424</v>
      </c>
    </row>
    <row r="23" spans="1:2" x14ac:dyDescent="0.25">
      <c r="A23" t="s">
        <v>24</v>
      </c>
      <c r="B23" s="11">
        <v>188000000</v>
      </c>
    </row>
    <row r="24" spans="1:2" x14ac:dyDescent="0.25">
      <c r="A24" t="s">
        <v>25</v>
      </c>
      <c r="B24" s="10">
        <f>B22/(B22+B23)</f>
        <v>0.9991928191246046</v>
      </c>
    </row>
    <row r="25" spans="1:2" x14ac:dyDescent="0.25">
      <c r="A25" t="s">
        <v>26</v>
      </c>
      <c r="B25" s="10">
        <f>1-B24</f>
        <v>0.0008071808753954413</v>
      </c>
    </row>
    <row r="26" spans="1:2" x14ac:dyDescent="0.25">
      <c r="A26" t="s">
        <v>27</v>
      </c>
      <c r="B26" s="12">
        <f>B24*B20+B25*B21*(1-B8)</f>
        <v>0.14746539999070737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11556000000</v>
      </c>
      <c r="C29" s="8" t="s">
        <v>30</v>
      </c>
    </row>
    <row r="30" spans="1:2" x14ac:dyDescent="0.25">
      <c r="A30" t="s">
        <v>31</v>
      </c>
      <c r="B30" s="11">
        <v>-5579000000</v>
      </c>
    </row>
    <row r="31" spans="1:2" x14ac:dyDescent="0.25">
      <c r="A31" t="s">
        <v>32</v>
      </c>
      <c r="B31" s="13">
        <v>1303904300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0.27313122172024773</v>
      </c>
      <c r="C5" s="10">
        <f>Assumptions!B6</f>
        <v>0.27313122172024773</v>
      </c>
      <c r="D5" s="10">
        <f>Assumptions!B6</f>
        <v>0.27313122172024773</v>
      </c>
      <c r="E5" s="10">
        <f>Assumptions!B6</f>
        <v>0.27313122172024773</v>
      </c>
      <c r="F5" s="10">
        <f>Assumptions!B6</f>
        <v>0.27313122172024773</v>
      </c>
    </row>
    <row r="6" spans="1:6" x14ac:dyDescent="0.25">
      <c r="A6" t="s">
        <v>43</v>
      </c>
      <c r="B6" s="18">
        <f>Assumptions!B29*(1+B5)</f>
        <v>14712304398.199183</v>
      </c>
      <c r="C6" s="18">
        <f>B6*(1+C5)</f>
        <v>18730694072.7995</v>
      </c>
      <c r="D6" s="18">
        <f>C6*(1+D5)</f>
        <v>23846631428.57143</v>
      </c>
      <c r="E6" s="18">
        <f>D6*(1+E5)</f>
        <v>30359891004.569603</v>
      </c>
      <c r="F6" s="18">
        <f>E6*(1+F5)</f>
        <v>38652125125.94126</v>
      </c>
    </row>
    <row r="7" spans="1:6" x14ac:dyDescent="0.25">
      <c r="A7" t="s">
        <v>5</v>
      </c>
      <c r="B7" s="10">
        <f>Assumptions!B7</f>
        <v>0.049385840699538705</v>
      </c>
      <c r="C7" s="10">
        <f>Assumptions!B7</f>
        <v>0.049385840699538705</v>
      </c>
      <c r="D7" s="10">
        <f>Assumptions!B7</f>
        <v>0.049385840699538705</v>
      </c>
      <c r="E7" s="10">
        <f>Assumptions!B7</f>
        <v>0.049385840699538705</v>
      </c>
      <c r="F7" s="10">
        <f>Assumptions!B7</f>
        <v>0.049385840699538705</v>
      </c>
    </row>
    <row r="8" spans="1:6" x14ac:dyDescent="0.25">
      <c r="A8" t="s">
        <v>44</v>
      </c>
      <c r="B8" s="18">
        <f>B6*B7</f>
        <v>726579521.3325875</v>
      </c>
      <c r="C8" s="18">
        <f>C6*C7</f>
        <v>925031073.6710699</v>
      </c>
      <c r="D8" s="18">
        <f>D6*D7</f>
        <v>1177685940.9520419</v>
      </c>
      <c r="E8" s="18">
        <f>E6*E7</f>
        <v>1499348740.8070326</v>
      </c>
      <c r="F8" s="18">
        <f>F6*F7</f>
        <v>1908867694.1683726</v>
      </c>
    </row>
    <row r="9" spans="1:6" x14ac:dyDescent="0.25">
      <c r="A9" t="s">
        <v>45</v>
      </c>
      <c r="B9" s="18">
        <f>B8*(1-Assumptions!B8)</f>
        <v>592723254.3143904</v>
      </c>
      <c r="C9" s="18">
        <f>C8*(1-Assumptions!B8)</f>
        <v>754614480.9072809</v>
      </c>
      <c r="D9" s="18">
        <f>D8*(1-Assumptions!B8)</f>
        <v>960723256.0052773</v>
      </c>
      <c r="E9" s="18">
        <f>E8*(1-Assumptions!B8)</f>
        <v>1223126772.653053</v>
      </c>
      <c r="F9" s="18">
        <f>F8*(1-Assumptions!B8)</f>
        <v>1557200882.3865254</v>
      </c>
    </row>
    <row r="10" spans="1:6" x14ac:dyDescent="0.25">
      <c r="A10" t="s">
        <v>46</v>
      </c>
      <c r="B10" s="18">
        <f>B6*Assumptions!B9</f>
        <v>122328398.13992876</v>
      </c>
      <c r="C10" s="18">
        <f>C6*Assumptions!B9</f>
        <v>155740102.9749684</v>
      </c>
      <c r="D10" s="18">
        <f>D6*Assumptions!B9</f>
        <v>198277587.5713587</v>
      </c>
      <c r="E10" s="18">
        <f>E6*Assumptions!B9</f>
        <v>252433387.30446732</v>
      </c>
      <c r="F10" s="18">
        <f>F6*Assumptions!B9</f>
        <v>321380826.781917</v>
      </c>
    </row>
    <row r="11" spans="1:6" x14ac:dyDescent="0.25">
      <c r="A11" t="s">
        <v>47</v>
      </c>
      <c r="B11" s="18">
        <f>-B6*Assumptions!B10</f>
        <v>-147123043.98199183</v>
      </c>
      <c r="C11" s="18">
        <f>-C6*Assumptions!B10</f>
        <v>-187306940.727995</v>
      </c>
      <c r="D11" s="18">
        <f>-D6*Assumptions!B10</f>
        <v>-238466314.2857143</v>
      </c>
      <c r="E11" s="18">
        <f>-E6*Assumptions!B10</f>
        <v>-303598910.045696</v>
      </c>
      <c r="F11" s="18">
        <f>-F6*Assumptions!B10</f>
        <v>-386521251.25941265</v>
      </c>
    </row>
    <row r="12" spans="1:6" x14ac:dyDescent="0.25">
      <c r="A12" t="s">
        <v>48</v>
      </c>
      <c r="B12" s="18">
        <f>-(B6-Assumptions!B29)*Assumptions!B11</f>
        <v>-137999855.97507638</v>
      </c>
      <c r="C12" s="18">
        <f>-(C6-B6)*Assumptions!B11</f>
        <v>-175691925.23476723</v>
      </c>
      <c r="D12" s="18">
        <f>-(D6-C6)*Assumptions!B11</f>
        <v>-223678875.42052165</v>
      </c>
      <c r="E12" s="18">
        <f>-(E6-D6)*Assumptions!B11</f>
        <v>-284772559.93713987</v>
      </c>
      <c r="F12" s="18">
        <f>-(F6-E6)*Assumptions!B11</f>
        <v>-362552837.14517343</v>
      </c>
    </row>
    <row r="13" spans="1:6" x14ac:dyDescent="0.25">
      <c r="A13" s="19" t="s">
        <v>49</v>
      </c>
      <c r="B13" s="20">
        <f>B9+B10+B11+B12</f>
        <v>429928752.4972511</v>
      </c>
      <c r="C13" s="20">
        <f>C9+C10+C11+C12</f>
        <v>547355717.9194871</v>
      </c>
      <c r="D13" s="20">
        <f>D9+D10+D11+D12</f>
        <v>696855653.8704002</v>
      </c>
      <c r="E13" s="20">
        <f>E9+E10+E11+E12</f>
        <v>887188689.9746846</v>
      </c>
      <c r="F13" s="20">
        <f>F9+F10+F11+F12</f>
        <v>1129507620.763856</v>
      </c>
    </row>
    <row r="14" spans="1:6" x14ac:dyDescent="0.25">
      <c r="A14" t="s">
        <v>50</v>
      </c>
      <c r="B14" s="21">
        <f>1/(1+Assumptions!$B$26)^(1-0.5*Assumptions!$B$32)</f>
        <v>0.9335341303250225</v>
      </c>
      <c r="C14" s="21">
        <f>1/(1+Assumptions!$B$26)^(2-0.5*Assumptions!$B$32)</f>
        <v>0.8135618994111566</v>
      </c>
      <c r="D14" s="21">
        <f>1/(1+Assumptions!$B$26)^(3-0.5*Assumptions!$B$32)</f>
        <v>0.7090077830823877</v>
      </c>
      <c r="E14" s="21">
        <f>1/(1+Assumptions!$B$26)^(4-0.5*Assumptions!$B$32)</f>
        <v>0.617890337336646</v>
      </c>
      <c r="F14" s="21">
        <f>1/(1+Assumptions!$B$26)^(5-0.5*Assumptions!$B$32)</f>
        <v>0.5384827615208702</v>
      </c>
    </row>
    <row r="15" spans="1:6" x14ac:dyDescent="0.25">
      <c r="A15" s="19" t="s">
        <v>51</v>
      </c>
      <c r="B15" s="20">
        <f>B13*B14</f>
        <v>401353164.06424314</v>
      </c>
      <c r="C15" s="20">
        <f>C13*C14</f>
        <v>445307757.52413523</v>
      </c>
      <c r="D15" s="20">
        <f>D13*D14</f>
        <v>494076082.2790801</v>
      </c>
      <c r="E15" s="20">
        <f>E13*E14</f>
        <v>548185318.9297149</v>
      </c>
      <c r="F15" s="20">
        <f>F13*F14</f>
        <v>608220382.7877889</v>
      </c>
    </row>
    <row r="17" spans="1:2" x14ac:dyDescent="0.25">
      <c r="A17" s="22" t="s">
        <v>52</v>
      </c>
      <c r="B17" s="23">
        <f>SUM(B15:F15)</f>
        <v>2497142705.5849624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1129507620.763856</v>
      </c>
    </row>
    <row r="5" spans="1:2" x14ac:dyDescent="0.25">
      <c r="A5" t="s">
        <v>56</v>
      </c>
      <c r="B5" s="18">
        <f>IF(Assumptions!$B$33=0,B4,B4-Forecast!F11-Forecast!F10-Forecast!F12)</f>
        <v>1741256231.3381526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0.16953129345307708</v>
      </c>
    </row>
    <row r="7" spans="1:2" x14ac:dyDescent="0.25">
      <c r="A7" t="s">
        <v>58</v>
      </c>
      <c r="B7" s="18">
        <f>-MAX(Forecast!F9,0)*B6</f>
        <v>-295197421.1319874</v>
      </c>
    </row>
    <row r="8" spans="1:2" x14ac:dyDescent="0.25">
      <c r="A8" t="s">
        <v>59</v>
      </c>
      <c r="B8" s="18">
        <f>IF(OR(Assumptions!$B$33=0,Assumptions!B12&lt;=0),B5,MAX(B5+B7,0))</f>
        <v>1446058810.2061653</v>
      </c>
    </row>
    <row r="9" spans="1:2" x14ac:dyDescent="0.25">
      <c r="A9" t="s">
        <v>60</v>
      </c>
      <c r="B9" s="18">
        <f>B8*(1+Assumptions!B12)/(Assumptions!B26-Assumptions!B12)</f>
        <v>12103094266.411482</v>
      </c>
    </row>
    <row r="10" spans="1:2" x14ac:dyDescent="0.25">
      <c r="A10" t="s">
        <v>61</v>
      </c>
      <c r="B10" s="18">
        <f>B9/(1+Assumptions!B26)^(5-0.5*Assumptions!B32)</f>
        <v>6517307623.524665</v>
      </c>
    </row>
    <row r="11" spans="1:2" x14ac:dyDescent="0.25">
      <c r="A11" t="s">
        <v>62</v>
      </c>
      <c r="B11" s="18">
        <f>Forecast!B17+B10</f>
        <v>9014450329.109627</v>
      </c>
    </row>
    <row r="12" spans="1:2" x14ac:dyDescent="0.25">
      <c r="A12" t="s">
        <v>63</v>
      </c>
      <c r="B12" s="18">
        <f>-Assumptions!B30</f>
        <v>5579000000</v>
      </c>
    </row>
    <row r="13" spans="1:2" x14ac:dyDescent="0.25">
      <c r="A13" t="s">
        <v>64</v>
      </c>
      <c r="B13" s="18">
        <f>B11+B12</f>
        <v>14593450329.109627</v>
      </c>
    </row>
    <row r="14" spans="1:2" x14ac:dyDescent="0.25">
      <c r="A14" s="19" t="s">
        <v>65</v>
      </c>
      <c r="B14" s="24">
        <f>B13/Assumptions!B31</f>
        <v>11.192117649362478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2230248520.9502897</v>
      </c>
    </row>
    <row r="18" spans="1:2" x14ac:dyDescent="0.25">
      <c r="A18" t="s">
        <v>60</v>
      </c>
      <c r="B18" s="18">
        <f>B17*Assumptions!B13</f>
        <v>44604970419.0058</v>
      </c>
    </row>
    <row r="19" spans="1:2" x14ac:dyDescent="0.25">
      <c r="A19" t="s">
        <v>61</v>
      </c>
      <c r="B19" s="18">
        <f>B18/(1+Assumptions!B26)^(5-0.5*Assumptions!B32)</f>
        <v>24019007648.782967</v>
      </c>
    </row>
    <row r="20" spans="1:2" x14ac:dyDescent="0.25">
      <c r="A20" t="s">
        <v>62</v>
      </c>
      <c r="B20" s="18">
        <f>Forecast!B17+B19</f>
        <v>26516150354.367928</v>
      </c>
    </row>
    <row r="21" spans="1:2" x14ac:dyDescent="0.25">
      <c r="A21" t="s">
        <v>63</v>
      </c>
      <c r="B21" s="18">
        <f>-Assumptions!B30</f>
        <v>5579000000</v>
      </c>
    </row>
    <row r="22" spans="1:2" x14ac:dyDescent="0.25">
      <c r="A22" t="s">
        <v>64</v>
      </c>
      <c r="B22" s="18">
        <f>B20+B21</f>
        <v>32095150354.367928</v>
      </c>
    </row>
    <row r="23" spans="1:2" x14ac:dyDescent="0.25">
      <c r="A23" s="19" t="s">
        <v>65</v>
      </c>
      <c r="B23" s="25">
        <f>B22/Assumptions!B31</f>
        <v>24.61465182250563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179.34</v>
      </c>
    </row>
    <row r="27" spans="1:3" x14ac:dyDescent="0.25">
      <c r="A27" t="s">
        <v>70</v>
      </c>
      <c r="B27" s="27">
        <v>1.3982</v>
      </c>
      <c r="C27" s="8" t="s">
        <v>71</v>
      </c>
    </row>
    <row r="28" spans="1:2" x14ac:dyDescent="0.25">
      <c r="A28" t="s">
        <v>72</v>
      </c>
      <c r="B28" s="28">
        <f>B14*B27</f>
        <v>15.648818897338618</v>
      </c>
    </row>
    <row r="29" spans="1:2" x14ac:dyDescent="0.25">
      <c r="A29" s="19" t="s">
        <v>73</v>
      </c>
      <c r="B29" s="12">
        <f>B28/B26-1</f>
        <v>-0.9127421718671873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0.127465</v>
      </c>
      <c r="B5" s="31">
        <v>12.485452924184605</v>
      </c>
      <c r="C5" s="31">
        <v>12.5159833041955</v>
      </c>
      <c r="D5" s="31">
        <v>12.546513684206392</v>
      </c>
      <c r="E5" s="31">
        <v>12.577044064217285</v>
      </c>
      <c r="F5" s="31">
        <v>12.607574444228181</v>
      </c>
    </row>
    <row r="6" spans="1:6" x14ac:dyDescent="0.25">
      <c r="A6" s="30">
        <v>0.137465</v>
      </c>
      <c r="B6" s="31">
        <v>11.762815144613418</v>
      </c>
      <c r="C6" s="31">
        <v>11.790021705303653</v>
      </c>
      <c r="D6" s="31">
        <v>11.817228265993887</v>
      </c>
      <c r="E6" s="31">
        <v>11.844434826684122</v>
      </c>
      <c r="F6" s="31">
        <v>11.871641387374357</v>
      </c>
    </row>
    <row r="7" spans="1:6" x14ac:dyDescent="0.25">
      <c r="A7" s="30">
        <v>0.147465</v>
      </c>
      <c r="B7" s="31">
        <v>11.14337672276076</v>
      </c>
      <c r="C7" s="31">
        <v>11.167758788690207</v>
      </c>
      <c r="D7" s="32">
        <v>11.192140854619655</v>
      </c>
      <c r="E7" s="31">
        <v>11.216522920549101</v>
      </c>
      <c r="F7" s="31">
        <v>11.240904986478549</v>
      </c>
    </row>
    <row r="8" spans="1:6" x14ac:dyDescent="0.25">
      <c r="A8" s="30">
        <v>0.157465</v>
      </c>
      <c r="B8" s="31">
        <v>10.607226146603846</v>
      </c>
      <c r="C8" s="31">
        <v>10.629185397928152</v>
      </c>
      <c r="D8" s="31">
        <v>10.651144649252457</v>
      </c>
      <c r="E8" s="31">
        <v>10.673103900576763</v>
      </c>
      <c r="F8" s="31">
        <v>10.695063151901067</v>
      </c>
    </row>
    <row r="9" spans="1:6" x14ac:dyDescent="0.25">
      <c r="A9" s="30">
        <v>0.167465</v>
      </c>
      <c r="B9" s="31">
        <v>10.13922204358512</v>
      </c>
      <c r="C9" s="31">
        <v>10.159085988575113</v>
      </c>
      <c r="D9" s="31">
        <v>10.178949933565102</v>
      </c>
      <c r="E9" s="31">
        <v>10.198813878555095</v>
      </c>
      <c r="F9" s="31">
        <v>10.218677823545086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11556000000</v>
      </c>
      <c r="C5" s="18">
        <v>8880000000</v>
      </c>
      <c r="D5" s="18">
        <v>7060000000</v>
      </c>
      <c r="E5" s="18">
        <v>5600000000</v>
      </c>
      <c r="F5" s="8" t="s">
        <v>84</v>
      </c>
    </row>
    <row r="6" spans="1:6" x14ac:dyDescent="0.25">
      <c r="A6" t="s">
        <v>44</v>
      </c>
      <c r="B6" s="18">
        <v>1885000000</v>
      </c>
      <c r="C6" s="18">
        <v>1302000000</v>
      </c>
      <c r="D6" s="18">
        <v>74000000</v>
      </c>
      <c r="E6" s="18">
        <v>-687000000</v>
      </c>
      <c r="F6" s="8" t="s">
        <v>85</v>
      </c>
    </row>
    <row r="7" spans="1:6" x14ac:dyDescent="0.25">
      <c r="A7" t="s">
        <v>86</v>
      </c>
      <c r="B7" s="18">
        <v>31000000</v>
      </c>
      <c r="C7" s="18">
        <v>36000000</v>
      </c>
      <c r="D7" s="18">
        <v>70000000</v>
      </c>
      <c r="E7" s="18">
        <v>93000000</v>
      </c>
      <c r="F7" s="8" t="s">
        <v>87</v>
      </c>
    </row>
    <row r="8" spans="1:6" x14ac:dyDescent="0.25">
      <c r="A8" t="s">
        <v>88</v>
      </c>
      <c r="B8" s="18">
        <v>26000000</v>
      </c>
      <c r="C8" s="18">
        <v>19000000</v>
      </c>
      <c r="D8" s="18">
        <v>39000000</v>
      </c>
      <c r="E8" s="18">
        <v>50000000</v>
      </c>
      <c r="F8" s="8" t="s">
        <v>89</v>
      </c>
    </row>
    <row r="9" spans="1:6" x14ac:dyDescent="0.25">
      <c r="A9" t="s">
        <v>90</v>
      </c>
      <c r="B9" s="18">
        <v>117000000</v>
      </c>
      <c r="C9" s="18">
        <v>166000000</v>
      </c>
      <c r="D9" s="18">
        <v>-195000000</v>
      </c>
      <c r="E9" s="18">
        <v>99000000</v>
      </c>
      <c r="F9" s="8" t="s">
        <v>91</v>
      </c>
    </row>
    <row r="10" spans="1:6" x14ac:dyDescent="0.25">
      <c r="A10" t="s">
        <v>92</v>
      </c>
      <c r="B10" s="18">
        <v>188000000</v>
      </c>
      <c r="C10" s="18">
        <v>1126000000</v>
      </c>
      <c r="D10" s="18">
        <v>1150000000</v>
      </c>
      <c r="E10" s="18">
        <v>1396000000</v>
      </c>
      <c r="F10" s="8" t="s">
        <v>93</v>
      </c>
    </row>
    <row r="11" spans="1:6" x14ac:dyDescent="0.25">
      <c r="A11" t="s">
        <v>94</v>
      </c>
      <c r="B11" s="18">
        <v>5767000000</v>
      </c>
      <c r="C11" s="18">
        <v>5470000000</v>
      </c>
      <c r="D11" s="18">
        <v>5000000000</v>
      </c>
      <c r="E11" s="18">
        <v>5053000000</v>
      </c>
      <c r="F11" s="8" t="s">
        <v>95</v>
      </c>
    </row>
    <row r="12" spans="1:6" x14ac:dyDescent="0.25">
      <c r="A12" t="s">
        <v>32</v>
      </c>
      <c r="B12" s="34">
        <v>1303904300</v>
      </c>
      <c r="C12" s="34">
        <v>1294580139</v>
      </c>
      <c r="D12" s="34">
        <v>1295511385</v>
      </c>
      <c r="E12" s="34">
        <v>1266268155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54" customHeight="1" spans="1:6" x14ac:dyDescent="0.25">
      <c r="A18" s="35" t="s">
        <v>100</v>
      </c>
      <c r="B18" s="35"/>
      <c r="C18" s="35"/>
      <c r="D18" s="35"/>
      <c r="E18" s="35"/>
      <c r="F18" s="35"/>
    </row>
    <row r="19" ht="22" customHeight="1" spans="1:6" x14ac:dyDescent="0.25">
      <c r="A19" s="35" t="s">
        <v>101</v>
      </c>
      <c r="B19" s="35"/>
      <c r="C19" s="35"/>
      <c r="D19" s="35"/>
      <c r="E19" s="35"/>
      <c r="F19" s="35"/>
    </row>
    <row r="20" ht="38" customHeight="1" spans="1:6" x14ac:dyDescent="0.25">
      <c r="A20" s="35" t="s">
        <v>102</v>
      </c>
      <c r="B20" s="35"/>
      <c r="C20" s="35"/>
      <c r="D20" s="35"/>
      <c r="E20" s="35"/>
      <c r="F20" s="35"/>
    </row>
    <row r="22" spans="1:1" x14ac:dyDescent="0.25">
      <c r="A22" s="36" t="s">
        <v>103</v>
      </c>
    </row>
  </sheetData>
  <mergeCells count="5">
    <mergeCell ref="A16:F16"/>
    <mergeCell ref="A17:F17"/>
    <mergeCell ref="A18:F18"/>
    <mergeCell ref="A19:F19"/>
    <mergeCell ref="A20:F20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2026-09-19T00:06:45Z</dcterms:modified>
</cp:coreProperties>
</file>