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<sst xmlns="http://schemas.openxmlformats.org/spreadsheetml/2006/main" count="114" uniqueCount="102">
  <si>
    <t>Shriram Finance Limited (SHRIRAMFIN.NS)</t>
  </si>
  <si>
    <t>DCF Studio - Base case</t>
  </si>
  <si>
    <t>Blue figures on a cream fill are inputs. Every other figure is a formula - change an input and the model reprices. Currency figures are INR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</si>
  <si>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</si>
  <si>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</si>
  <si>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</si>
  <si>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</si>
  <si>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</si>
  <si>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</si>
  <si>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</si>
  <si>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</si>
  <si>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</si>
  <si>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</si>
  <si>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</si>
  <si>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</si>
  <si>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</si>
  <si>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INR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</si>
  <si>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</si>
  <si>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</si>
  <si>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</si>
  <si>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</si>
  <si>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</si>
  <si>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Interest expense / average total debt</t>
  </si>
  <si>
    <t>Market capitalisation (INR m)</t>
  </si>
  <si>
    <t>Total debt (INR m)</t>
  </si>
  <si>
    <t>Equity weight</t>
  </si>
  <si>
    <t>Debt weight</t>
  </si>
  <si>
    <t>WACC</t>
  </si>
  <si>
    <t>Base year</t>
  </si>
  <si>
    <t>Revenue, last reported year (INR m)</t>
  </si>
  <si>
    <t>Fiscal year ended 2026-03-31</t>
  </si>
  <si>
    <t>Net debt (INR m)</t>
  </si>
  <si>
    <t>Diluted shares</t>
  </si>
  <si>
    <t>Mid-year discounting (1 = yes, 0 = no)</t>
  </si>
  <si>
    <t>Terminal year on a steady-state footing (1 = yes, 0 = no)</t>
  </si>
  <si>
    <t>Forecast cashflows (INR m)</t>
  </si>
  <si>
    <t>Every figure below is a formula. Edit the drivers on Assumptions.</t>
  </si>
  <si>
    <t>Year</t>
  </si>
  <si>
    <t>FY27</t>
  </si>
  <si>
    <t>FY28</t>
  </si>
  <si>
    <t>FY29</t>
  </si>
  <si>
    <t>FY30</t>
  </si>
  <si>
    <t>FY31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</si>
  <si>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</si>
  <si>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</si>
  <si>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</si>
  <si>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</si>
  <si>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</si>
  <si>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</si>
  <si>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</si>
  <si>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</si>
  <si>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</si>
  <si>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</si>
  <si>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(INR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</si>
  <si>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</si>
  <si>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</si>
  <si>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</si>
  <si>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</si>
  <si>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</si>
  <si>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</si>
  <si>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</si>
  <si>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</si>
  <si>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</si>
  <si>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</si>
  <si>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</si>
  <si>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</si>
  <si>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</si>
  <si>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</si>
  <si>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</si>
  <si>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(INR)</t>
  </si>
  <si>
    <t>Conversion, INR to INR</t>
  </si>
  <si>
    <t>Same currency, no conversion</t>
  </si>
  <si>
    <t>Value per share (INR)</t>
  </si>
  <si>
    <t>Implied upside</t>
  </si>
  <si>
    <t>Value per share (INR)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</si>
  <si>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</si>
  <si>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(INR m, except shares)</t>
  </si>
  <si>
    <t>What the model was built from. "derived" means the figure was not reported and was computed - the note says how.</t>
  </si>
  <si>
    <t>Fiscal year end</t>
  </si>
  <si>
    <t>2026-03-31</t>
  </si>
  <si>
    <t>2025-03-31</t>
  </si>
  <si>
    <t>2024-03-31</t>
  </si>
  <si>
    <t>2023-03-31</t>
  </si>
  <si>
    <t>Yahoo field, latest year</t>
  </si>
  <si>
    <t>totalRevenue</t>
  </si>
  <si>
    <t>derived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</si>
  <si>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</si>
  <si>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</si>
  <si>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</si>
  <si>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</si>
  <si>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</si>
  <si>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</si>
  <si>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</si>
  <si>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</si>
  <si>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</si>
  <si>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cashAndCashEquivalents</t>
  </si>
  <si>
    <t>dilutedAverageShares</t>
  </si>
  <si>
    <t>Model notes</t>
  </si>
  <si>
    <t>Wrong tool: This is a financial. Banks and insurers report no meaningful operating income, and capex and working capital do not mean what a free-cashflow model assumes, so a DCF will misprice it. The model below runs on best-effort numbers - treat it as an illustration, not a valuation.</t>
  </si>
  <si>
    <t>Note: Risk-free rate is an assumption: INR assumption - no free live source available for this market.</t>
  </si>
  <si>
    <t>Current EV/EBITDA of 29.5x sits outside a defensible 3-20x band, so the exit multiple is capped at 20.0x. A multiple that far out usually means EBITDA is the wrong denominator for this business.</t>
  </si>
  <si>
    <t>Data: Yahoo Finance. Risk-free rate: INR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</si>
</sst>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0.13924603624501697</v>
      </c>
    </row>
    <row r="7" spans="1:2" x14ac:dyDescent="0.25">
      <c r="A7" t="s">
        <v>5</v>
      </c>
      <c r="B7" s="6">
        <v>0.5231224817813834</v>
      </c>
    </row>
    <row r="8" spans="1:2" x14ac:dyDescent="0.25">
      <c r="A8" t="s">
        <v>6</v>
      </c>
      <c r="B8" s="6">
        <v>0.252</v>
      </c>
    </row>
    <row r="9" spans="1:2" x14ac:dyDescent="0.25">
      <c r="A9" t="s">
        <v>7</v>
      </c>
      <c r="B9" s="6">
        <v>0.03063844097875442</v>
      </c>
    </row>
    <row r="10" spans="1:2" x14ac:dyDescent="0.25">
      <c r="A10" t="s">
        <v>8</v>
      </c>
      <c r="B10" s="6">
        <v>0.010974727261011383</v>
      </c>
    </row>
    <row r="11" spans="1:2" x14ac:dyDescent="0.25">
      <c r="A11" t="s">
        <v>9</v>
      </c>
      <c r="B11" s="6">
        <v>1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20</v>
      </c>
    </row>
    <row r="14" spans="1:3" x14ac:dyDescent="0.25">
      <c r="A14" t="s">
        <v>12</v>
      </c>
      <c r="B14" s="6">
        <v>0.11055086959885298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0.068</v>
      </c>
      <c r="C17" s="8" t="s">
        <v>16</v>
      </c>
    </row>
    <row r="18" spans="1:2" x14ac:dyDescent="0.25">
      <c r="A18" t="s">
        <v>17</v>
      </c>
      <c r="B18" s="6">
        <v>0.08</v>
      </c>
    </row>
    <row r="19" spans="1:3" x14ac:dyDescent="0.25">
      <c r="A19" t="s">
        <v>18</v>
      </c>
      <c r="B19" s="9">
        <v>0.7360199999999999</v>
      </c>
      <c r="C19" s="8" t="s">
        <v>19</v>
      </c>
    </row>
    <row r="20" spans="1:2" x14ac:dyDescent="0.25">
      <c r="A20" t="s">
        <v>20</v>
      </c>
      <c r="B20" s="10">
        <f>B17+B19*B18</f>
        <v>0.12688159999999998</v>
      </c>
    </row>
    <row r="21" spans="1:3" x14ac:dyDescent="0.25">
      <c r="A21" t="s">
        <v>21</v>
      </c>
      <c r="B21" s="6">
        <v>0.11928512354986345</v>
      </c>
      <c r="C21" s="8" t="s">
        <v>22</v>
      </c>
    </row>
    <row r="22" spans="1:2" x14ac:dyDescent="0.25">
      <c r="A22" t="s">
        <v>23</v>
      </c>
      <c r="B22" s="11">
        <v>2376575483904</v>
      </c>
    </row>
    <row r="23" spans="1:2" x14ac:dyDescent="0.25">
      <c r="A23" t="s">
        <v>24</v>
      </c>
      <c r="B23" s="11">
        <v>1819935600000</v>
      </c>
    </row>
    <row r="24" spans="1:2" x14ac:dyDescent="0.25">
      <c r="A24" t="s">
        <v>25</v>
      </c>
      <c r="B24" s="10">
        <f>B22/(B22+B23)</f>
        <v>0.5663217459426033</v>
      </c>
    </row>
    <row r="25" spans="1:2" x14ac:dyDescent="0.25">
      <c r="A25" t="s">
        <v>26</v>
      </c>
      <c r="B25" s="10">
        <f>1-B24</f>
        <v>0.4336782540573967</v>
      </c>
    </row>
    <row r="26" spans="1:2" x14ac:dyDescent="0.25">
      <c r="A26" t="s">
        <v>27</v>
      </c>
      <c r="B26" s="12">
        <f>B24*B20+B25*B21*(1-B8)</f>
        <v>0.11055086959885298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250342700000</v>
      </c>
      <c r="C29" s="8" t="s">
        <v>30</v>
      </c>
    </row>
    <row r="30" spans="1:2" x14ac:dyDescent="0.25">
      <c r="A30" t="s">
        <v>31</v>
      </c>
      <c r="B30" s="11">
        <v>1758084800000</v>
      </c>
    </row>
    <row r="31" spans="1:2" x14ac:dyDescent="0.25">
      <c r="A31" t="s">
        <v>32</v>
      </c>
      <c r="B31" s="13">
        <v>1882600000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0.13924603624501697</v>
      </c>
      <c r="C5" s="10">
        <f>Assumptions!B6</f>
        <v>0.13924603624501697</v>
      </c>
      <c r="D5" s="10">
        <f>Assumptions!B6</f>
        <v>0.13924603624501697</v>
      </c>
      <c r="E5" s="10">
        <f>Assumptions!B6</f>
        <v>0.13924603624501697</v>
      </c>
      <c r="F5" s="10">
        <f>Assumptions!B6</f>
        <v>0.13924603624501697</v>
      </c>
    </row>
    <row r="6" spans="1:6" x14ac:dyDescent="0.25">
      <c r="A6" t="s">
        <v>43</v>
      </c>
      <c r="B6" s="18">
        <f>Assumptions!B29*(1+B5)</f>
        <v>285201928677.8754</v>
      </c>
      <c r="C6" s="18">
        <f>B6*(1+C5)</f>
        <v>324915166775.7036</v>
      </c>
      <c r="D6" s="18">
        <f>C6*(1+D5)</f>
        <v>370158315865.10895</v>
      </c>
      <c r="E6" s="18">
        <f>D6*(1+E5)</f>
        <v>421701394132.45636</v>
      </c>
      <c r="F6" s="18">
        <f>E6*(1+F5)</f>
        <v>480421641744.39856</v>
      </c>
    </row>
    <row r="7" spans="1:6" x14ac:dyDescent="0.25">
      <c r="A7" t="s">
        <v>5</v>
      </c>
      <c r="B7" s="10">
        <f>Assumptions!B7</f>
        <v>0.5231224817813834</v>
      </c>
      <c r="C7" s="10">
        <f>Assumptions!B7</f>
        <v>0.5231224817813834</v>
      </c>
      <c r="D7" s="10">
        <f>Assumptions!B7</f>
        <v>0.5231224817813834</v>
      </c>
      <c r="E7" s="10">
        <f>Assumptions!B7</f>
        <v>0.5231224817813834</v>
      </c>
      <c r="F7" s="10">
        <f>Assumptions!B7</f>
        <v>0.5231224817813834</v>
      </c>
    </row>
    <row r="8" spans="1:6" x14ac:dyDescent="0.25">
      <c r="A8" t="s">
        <v>44</v>
      </c>
      <c r="B8" s="18">
        <f>B6*B7</f>
        <v>149195540738.8073</v>
      </c>
      <c r="C8" s="18">
        <f>C6*C7</f>
        <v>169970428412.11816</v>
      </c>
      <c r="D8" s="18">
        <f>D6*D7</f>
        <v>193638136847.37302</v>
      </c>
      <c r="E8" s="18">
        <f>E6*E7</f>
        <v>220601479869.2399</v>
      </c>
      <c r="F8" s="18">
        <f>F6*F7</f>
        <v>251319361530.81647</v>
      </c>
    </row>
    <row r="9" spans="1:6" x14ac:dyDescent="0.25">
      <c r="A9" t="s">
        <v>45</v>
      </c>
      <c r="B9" s="18">
        <f>B8*(1-Assumptions!B8)</f>
        <v>111598264472.62787</v>
      </c>
      <c r="C9" s="18">
        <f>C8*(1-Assumptions!B8)</f>
        <v>127137880452.26439</v>
      </c>
      <c r="D9" s="18">
        <f>D8*(1-Assumptions!B8)</f>
        <v>144841326361.83502</v>
      </c>
      <c r="E9" s="18">
        <f>E8*(1-Assumptions!B8)</f>
        <v>165009906942.19144</v>
      </c>
      <c r="F9" s="18">
        <f>F8*(1-Assumptions!B8)</f>
        <v>187986882425.05072</v>
      </c>
    </row>
    <row r="10" spans="1:6" x14ac:dyDescent="0.25">
      <c r="A10" t="s">
        <v>46</v>
      </c>
      <c r="B10" s="18">
        <f>B6*Assumptions!B9</f>
        <v>8738142458.824015</v>
      </c>
      <c r="C10" s="18">
        <f>C6*Assumptions!B9</f>
        <v>9954894160.359545</v>
      </c>
      <c r="D10" s="18">
        <f>D6*Assumptions!B9</f>
        <v>11341073713.428276</v>
      </c>
      <c r="E10" s="18">
        <f>E6*Assumptions!B9</f>
        <v>12920273274.78572</v>
      </c>
      <c r="F10" s="18">
        <f>F6*Assumptions!B9</f>
        <v>14719370115.502056</v>
      </c>
    </row>
    <row r="11" spans="1:6" x14ac:dyDescent="0.25">
      <c r="A11" t="s">
        <v>47</v>
      </c>
      <c r="B11" s="18">
        <f>-B6*Assumptions!B10</f>
        <v>-3130013381.5541034</v>
      </c>
      <c r="C11" s="18">
        <f>-C6*Assumptions!B10</f>
        <v>-3565855338.3293743</v>
      </c>
      <c r="D11" s="18">
        <f>-D6*Assumptions!B10</f>
        <v>-4062386560.0148735</v>
      </c>
      <c r="E11" s="18">
        <f>-E6*Assumptions!B10</f>
        <v>-4628057786.191975</v>
      </c>
      <c r="F11" s="18">
        <f>-F6*Assumptions!B10</f>
        <v>-5272496488.432095</v>
      </c>
    </row>
    <row r="12" spans="1:6" x14ac:dyDescent="0.25">
      <c r="A12" t="s">
        <v>48</v>
      </c>
      <c r="B12" s="18">
        <f>-(B6-Assumptions!B29)*Assumptions!B11</f>
        <v>-34859228677.87543</v>
      </c>
      <c r="C12" s="18">
        <f>-(C6-B6)*Assumptions!B11</f>
        <v>-39713238097.828186</v>
      </c>
      <c r="D12" s="18">
        <f>-(D6-C6)*Assumptions!B11</f>
        <v>-45243149089.405334</v>
      </c>
      <c r="E12" s="18">
        <f>-(E6-D6)*Assumptions!B11</f>
        <v>-51543078267.34741</v>
      </c>
      <c r="F12" s="18">
        <f>-(F6-E6)*Assumptions!B11</f>
        <v>-58720247611.9422</v>
      </c>
    </row>
    <row r="13" spans="1:6" x14ac:dyDescent="0.25">
      <c r="A13" s="19" t="s">
        <v>49</v>
      </c>
      <c r="B13" s="20">
        <f>B9+B10+B11+B12</f>
        <v>82347164872.02235</v>
      </c>
      <c r="C13" s="20">
        <f>C9+C10+C11+C12</f>
        <v>93813681176.46637</v>
      </c>
      <c r="D13" s="20">
        <f>D9+D10+D11+D12</f>
        <v>106876864425.84311</v>
      </c>
      <c r="E13" s="20">
        <f>E9+E10+E11+E12</f>
        <v>121759044163.43777</v>
      </c>
      <c r="F13" s="20">
        <f>F9+F10+F11+F12</f>
        <v>138713508440.17847</v>
      </c>
    </row>
    <row r="14" spans="1:6" x14ac:dyDescent="0.25">
      <c r="A14" t="s">
        <v>50</v>
      </c>
      <c r="B14" s="21">
        <f>1/(1+Assumptions!$B$26)^(1-0.5*Assumptions!$B$32)</f>
        <v>0.9489225598287726</v>
      </c>
      <c r="C14" s="21">
        <f>1/(1+Assumptions!$B$26)^(2-0.5*Assumptions!$B$32)</f>
        <v>0.8544611379859953</v>
      </c>
      <c r="D14" s="21">
        <f>1/(1+Assumptions!$B$26)^(3-0.5*Assumptions!$B$32)</f>
        <v>0.769402970522763</v>
      </c>
      <c r="E14" s="21">
        <f>1/(1+Assumptions!$B$26)^(4-0.5*Assumptions!$B$32)</f>
        <v>0.6928120013094784</v>
      </c>
      <c r="F14" s="21">
        <f>1/(1+Assumptions!$B$26)^(5-0.5*Assumptions!$B$32)</f>
        <v>0.6238453548370388</v>
      </c>
    </row>
    <row r="15" spans="1:6" x14ac:dyDescent="0.25">
      <c r="A15" s="19" t="s">
        <v>51</v>
      </c>
      <c r="B15" s="20">
        <f>B13*B14</f>
        <v>78141082485.00143</v>
      </c>
      <c r="C15" s="20">
        <f>C13*C14</f>
        <v>80160144776.6988</v>
      </c>
      <c r="D15" s="20">
        <f>D13*D14</f>
        <v>82231376969.4023</v>
      </c>
      <c r="E15" s="20">
        <f>E13*E14</f>
        <v>84356127064.40048</v>
      </c>
      <c r="F15" s="20">
        <f>F13*F14</f>
        <v>86535777893.55371</v>
      </c>
    </row>
    <row r="17" spans="1:2" x14ac:dyDescent="0.25">
      <c r="A17" s="22" t="s">
        <v>52</v>
      </c>
      <c r="B17" s="23">
        <f>SUM(B15:F15)</f>
        <v>411424509189.05676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138713508440.17847</v>
      </c>
    </row>
    <row r="5" spans="1:2" x14ac:dyDescent="0.25">
      <c r="A5" t="s">
        <v>56</v>
      </c>
      <c r="B5" s="18">
        <f>IF(Assumptions!$B$33=0,B4,B4-Forecast!F11-Forecast!F10-Forecast!F12)</f>
        <v>192348442642.24078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0.22614023834200025</v>
      </c>
    </row>
    <row r="7" spans="1:2" x14ac:dyDescent="0.25">
      <c r="A7" t="s">
        <v>58</v>
      </c>
      <c r="B7" s="18">
        <f>-MAX(Forecast!F9,0)*B6</f>
        <v>-43497722663.828896</v>
      </c>
    </row>
    <row r="8" spans="1:2" x14ac:dyDescent="0.25">
      <c r="A8" t="s">
        <v>59</v>
      </c>
      <c r="B8" s="18">
        <f>IF(OR(Assumptions!$B$33=0,Assumptions!B12&lt;=0),B5,MAX(B5+B7,0))</f>
        <v>148850719978.4119</v>
      </c>
    </row>
    <row r="9" spans="1:2" x14ac:dyDescent="0.25">
      <c r="A9" t="s">
        <v>60</v>
      </c>
      <c r="B9" s="18">
        <f>B8*(1+Assumptions!B12)/(Assumptions!B26-Assumptions!B12)</f>
        <v>1783406629216.9849</v>
      </c>
    </row>
    <row r="10" spans="1:2" x14ac:dyDescent="0.25">
      <c r="A10" t="s">
        <v>61</v>
      </c>
      <c r="B10" s="18">
        <f>B9/(1+Assumptions!B26)^(5-0.5*Assumptions!B32)</f>
        <v>1112569941422.5974</v>
      </c>
    </row>
    <row r="11" spans="1:2" x14ac:dyDescent="0.25">
      <c r="A11" t="s">
        <v>62</v>
      </c>
      <c r="B11" s="18">
        <f>Forecast!B17+B10</f>
        <v>1523994450611.6543</v>
      </c>
    </row>
    <row r="12" spans="1:2" x14ac:dyDescent="0.25">
      <c r="A12" t="s">
        <v>63</v>
      </c>
      <c r="B12" s="18">
        <f>-Assumptions!B30</f>
        <v>-1758084800000</v>
      </c>
    </row>
    <row r="13" spans="1:2" x14ac:dyDescent="0.25">
      <c r="A13" t="s">
        <v>64</v>
      </c>
      <c r="B13" s="18">
        <f>B11+B12</f>
        <v>-234090349388.3457</v>
      </c>
    </row>
    <row r="14" spans="1:2" x14ac:dyDescent="0.25">
      <c r="A14" s="19" t="s">
        <v>65</v>
      </c>
      <c r="B14" s="24">
        <f>B13/Assumptions!B31</f>
        <v>-124.34417793920413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266038731646.3185</v>
      </c>
    </row>
    <row r="18" spans="1:2" x14ac:dyDescent="0.25">
      <c r="A18" t="s">
        <v>60</v>
      </c>
      <c r="B18" s="18">
        <f>B17*Assumptions!B13</f>
        <v>5320774632926.37</v>
      </c>
    </row>
    <row r="19" spans="1:2" x14ac:dyDescent="0.25">
      <c r="A19" t="s">
        <v>61</v>
      </c>
      <c r="B19" s="18">
        <f>B18/(1+Assumptions!B26)^(5-0.5*Assumptions!B32)</f>
        <v>3319340538885.8667</v>
      </c>
    </row>
    <row r="20" spans="1:2" x14ac:dyDescent="0.25">
      <c r="A20" t="s">
        <v>62</v>
      </c>
      <c r="B20" s="18">
        <f>Forecast!B17+B19</f>
        <v>3730765048074.9233</v>
      </c>
    </row>
    <row r="21" spans="1:2" x14ac:dyDescent="0.25">
      <c r="A21" t="s">
        <v>63</v>
      </c>
      <c r="B21" s="18">
        <f>-Assumptions!B30</f>
        <v>-1758084800000</v>
      </c>
    </row>
    <row r="22" spans="1:2" x14ac:dyDescent="0.25">
      <c r="A22" t="s">
        <v>64</v>
      </c>
      <c r="B22" s="18">
        <f>B20+B21</f>
        <v>1972680248074.9233</v>
      </c>
    </row>
    <row r="23" spans="1:2" x14ac:dyDescent="0.25">
      <c r="A23" s="19" t="s">
        <v>65</v>
      </c>
      <c r="B23" s="25">
        <f>B22/Assumptions!B31</f>
        <v>1047.8488516280268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1010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-124.34417793920413</v>
      </c>
    </row>
    <row r="29" spans="1:2" x14ac:dyDescent="0.25">
      <c r="A29" s="19" t="s">
        <v>73</v>
      </c>
      <c r="B29" s="12">
        <f>B28/B26-1</f>
        <v>-1.1231130474645585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0.090551</v>
      </c>
      <c r="B5" s="31">
        <v>70.47380634039402</v>
      </c>
      <c r="C5" s="31">
        <v>74.29325311271853</v>
      </c>
      <c r="D5" s="31">
        <v>78.11269988504279</v>
      </c>
      <c r="E5" s="31">
        <v>81.93214665736743</v>
      </c>
      <c r="F5" s="31">
        <v>85.75159342969181</v>
      </c>
    </row>
    <row r="6" spans="1:6" x14ac:dyDescent="0.25">
      <c r="A6" s="30">
        <v>0.100551</v>
      </c>
      <c r="B6" s="31">
        <v>-40.061417973369295</v>
      </c>
      <c r="C6" s="31">
        <v>-36.760243692543824</v>
      </c>
      <c r="D6" s="31">
        <v>-33.459069411718616</v>
      </c>
      <c r="E6" s="31">
        <v>-30.157895130893404</v>
      </c>
      <c r="F6" s="31">
        <v>-26.856720850067934</v>
      </c>
    </row>
    <row r="7" spans="1:6" x14ac:dyDescent="0.25">
      <c r="A7" s="30">
        <v>0.110551</v>
      </c>
      <c r="B7" s="31">
        <v>-130.11085476990905</v>
      </c>
      <c r="C7" s="31">
        <v>-127.22805376244798</v>
      </c>
      <c r="D7" s="32">
        <v>-124.34525275498716</v>
      </c>
      <c r="E7" s="31">
        <v>-121.46245174752646</v>
      </c>
      <c r="F7" s="31">
        <v>-118.57965074006563</v>
      </c>
    </row>
    <row r="8" spans="1:6" x14ac:dyDescent="0.25">
      <c r="A8" s="30">
        <v>0.120551</v>
      </c>
      <c r="B8" s="31">
        <v>-204.79673309762256</v>
      </c>
      <c r="C8" s="31">
        <v>-202.25758820905838</v>
      </c>
      <c r="D8" s="31">
        <v>-199.71844332049432</v>
      </c>
      <c r="E8" s="31">
        <v>-197.17929843193014</v>
      </c>
      <c r="F8" s="31">
        <v>-194.64015354336632</v>
      </c>
    </row>
    <row r="9" spans="1:6" x14ac:dyDescent="0.25">
      <c r="A9" s="30">
        <v>0.130551</v>
      </c>
      <c r="B9" s="31">
        <v>-267.6704634001335</v>
      </c>
      <c r="C9" s="31">
        <v>-265.41770452971247</v>
      </c>
      <c r="D9" s="31">
        <v>-263.16494565929145</v>
      </c>
      <c r="E9" s="31">
        <v>-260.9121867888703</v>
      </c>
      <c r="F9" s="31">
        <v>-258.65942791844935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250342700000</v>
      </c>
      <c r="C5" s="18">
        <v>219872600000</v>
      </c>
      <c r="D5" s="18">
        <v>190834000000</v>
      </c>
      <c r="E5" s="18">
        <v>169309900000</v>
      </c>
      <c r="F5" s="8" t="s">
        <v>84</v>
      </c>
    </row>
    <row r="6" spans="1:6" x14ac:dyDescent="0.25">
      <c r="A6" t="s">
        <v>44</v>
      </c>
      <c r="B6" s="18">
        <v>133001900000</v>
      </c>
      <c r="C6" s="18">
        <v>125029100000</v>
      </c>
      <c r="D6" s="18">
        <v>96836400000</v>
      </c>
      <c r="E6" s="18">
        <v>82137200000</v>
      </c>
      <c r="F6" s="8" t="s">
        <v>85</v>
      </c>
    </row>
    <row r="7" spans="1:6" x14ac:dyDescent="0.25">
      <c r="A7" t="s">
        <v>86</v>
      </c>
      <c r="B7" s="18">
        <v>6989000000</v>
      </c>
      <c r="C7" s="18">
        <v>6453200000</v>
      </c>
      <c r="D7" s="18">
        <v>5688300000</v>
      </c>
      <c r="E7" s="18">
        <v>6006900000</v>
      </c>
      <c r="F7" s="8" t="s">
        <v>87</v>
      </c>
    </row>
    <row r="8" spans="1:6" x14ac:dyDescent="0.25">
      <c r="A8" t="s">
        <v>88</v>
      </c>
      <c r="B8" s="18">
        <v>1962400000</v>
      </c>
      <c r="C8" s="18">
        <v>2545900000</v>
      </c>
      <c r="D8" s="18">
        <v>2456000000</v>
      </c>
      <c r="E8" s="18">
        <v>1965900000</v>
      </c>
      <c r="F8" s="8" t="s">
        <v>89</v>
      </c>
    </row>
    <row r="9" spans="1:6" x14ac:dyDescent="0.25">
      <c r="A9" t="s">
        <v>90</v>
      </c>
      <c r="B9" s="18">
        <v>308746300000</v>
      </c>
      <c r="C9" s="18">
        <v>595596400000</v>
      </c>
      <c r="D9" s="18">
        <v>433860800000</v>
      </c>
      <c r="E9" s="18">
        <v>270605100000</v>
      </c>
      <c r="F9" s="8" t="s">
        <v>91</v>
      </c>
    </row>
    <row r="10" spans="1:6" x14ac:dyDescent="0.25">
      <c r="A10" t="s">
        <v>92</v>
      </c>
      <c r="B10" s="18">
        <v>1819935600000</v>
      </c>
      <c r="C10" s="18">
        <v>1788397000000</v>
      </c>
      <c r="D10" s="18">
        <v>1517661000000</v>
      </c>
      <c r="E10" s="18">
        <v>1286886100000</v>
      </c>
      <c r="F10" s="8" t="s">
        <v>93</v>
      </c>
    </row>
    <row r="11" spans="1:6" x14ac:dyDescent="0.25">
      <c r="A11" t="s">
        <v>94</v>
      </c>
      <c r="B11" s="18">
        <v>61850800000</v>
      </c>
      <c r="C11" s="18">
        <v>197839100000</v>
      </c>
      <c r="D11" s="18">
        <v>62602300000</v>
      </c>
      <c r="E11" s="18">
        <v>104903600000</v>
      </c>
      <c r="F11" s="8" t="s">
        <v>95</v>
      </c>
    </row>
    <row r="12" spans="1:6" x14ac:dyDescent="0.25">
      <c r="A12" t="s">
        <v>32</v>
      </c>
      <c r="B12" s="34">
        <v>1882600000</v>
      </c>
      <c r="C12" s="34">
        <v>1882500000</v>
      </c>
      <c r="D12" s="34">
        <v>1882100000</v>
      </c>
      <c r="E12" s="34">
        <v>1880500000</v>
      </c>
      <c r="F12" s="8" t="s">
        <v>96</v>
      </c>
    </row>
    <row r="15" spans="1:1" x14ac:dyDescent="0.25">
      <c r="A15" s="19" t="s">
        <v>97</v>
      </c>
    </row>
    <row r="16" ht="54" customHeight="1" spans="1:6" x14ac:dyDescent="0.25">
      <c r="A16" s="35" t="s">
        <v>98</v>
      </c>
      <c r="B16" s="35"/>
      <c r="C16" s="35"/>
      <c r="D16" s="35"/>
      <c r="E16" s="35"/>
      <c r="F16" s="35"/>
    </row>
    <row r="17" ht="22" customHeight="1" spans="1:6" x14ac:dyDescent="0.25">
      <c r="A17" s="35" t="s">
        <v>99</v>
      </c>
      <c r="B17" s="35"/>
      <c r="C17" s="35"/>
      <c r="D17" s="35"/>
      <c r="E17" s="35"/>
      <c r="F17" s="35"/>
    </row>
    <row r="18" ht="38" customHeight="1" spans="1:6" x14ac:dyDescent="0.25">
      <c r="A18" s="35" t="s">
        <v>100</v>
      </c>
      <c r="B18" s="35"/>
      <c r="C18" s="35"/>
      <c r="D18" s="35"/>
      <c r="E18" s="35"/>
      <c r="F18" s="35"/>
    </row>
    <row r="20" spans="1:1" x14ac:dyDescent="0.25">
      <c r="A20" s="36" t="s">
        <v>101</v>
      </c>
    </row>
  </sheetData>
  <mergeCells count="3">
    <mergeCell ref="A16:F16"/>
    <mergeCell ref="A17:F17"/>
    <mergeCell ref="A18:F18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2026-09-19T00:08:15Z</dcterms:modified>
</cp:coreProperties>
</file>