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<sst xmlns="http://schemas.openxmlformats.org/spreadsheetml/2006/main" count="113" uniqueCount="101">
  <si>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Sherwin-Williams Company (SHW)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</si>
  <si>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</si>
  <si>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</si>
  <si>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</si>
  <si>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</si>
  <si>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</si>
  <si>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</si>
  <si>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</si>
  <si>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</si>
  <si>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</si>
  <si>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</si>
  <si>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</si>
  <si>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</si>
  <si>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</si>
  <si>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</si>
  <si>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</si>
  <si>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</si>
  <si>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</si>
  <si>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</si>
  <si>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</si>
  <si>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</si>
  <si>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</si>
  <si>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</si>
  <si>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</si>
  <si>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</si>
  <si>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</si>
  <si>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</si>
  <si>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</si>
  <si>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</si>
  <si>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</si>
  <si>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</si>
  <si>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</si>
  <si>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</si>
  <si>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</si>
  <si>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</si>
  <si>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</si>
  <si>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</si>
  <si>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</si>
  <si>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</si>
  <si>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</si>
  <si>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</si>
  <si>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</si>
  <si>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</si>
  <si>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</si>
  <si>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</si>
  <si>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</si>
  <si>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</si>
  <si>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</si>
  <si>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</si>
  <si>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</si>
  <si>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</si>
  <si>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</si>
  <si>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</si>
  <si>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</si>
  <si>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</si>
  <si>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</si>
  <si>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</si>
  <si>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</si>
  <si>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</si>
  <si>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</si>
  <si>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</si>
  <si>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</si>
  <si>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</si>
  <si>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</si>
  <si>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</si>
  <si>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</si>
  <si>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</si>
  <si>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</si>
  <si>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</si>
  <si>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</si>
  <si>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</si>
  <si>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</si>
  <si>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</si>
  <si>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</si>
  <si>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</si>
  <si>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</si>
  <si>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</si>
  <si>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</si>
  <si>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</si>
  <si>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</si>
  <si>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</si>
  <si>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</si>
  <si>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</si>
  <si>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</si>
  <si>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</si>
  <si>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</si>
  <si>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</si>
  <si>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</si>
  <si>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</si>
  <si>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</si>
  <si>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</si>
  <si>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</si>
  <si>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</si>
  <si>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</si>
  <si>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</si>
  <si>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</si>
  <si>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</si>
  <si>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</si>
  <si>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3.7% of revenue against depreciation of 2.7%. A perpetuity has to be a steady state, so the terminal year uses maintenance capex at depreciation and then charges the reinvestment terminal growth requires (g/ROIC of NOPAT). The bridge is shown under Terminal Value.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</si>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</sst>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0.021007379883363875</v>
      </c>
    </row>
    <row r="7" spans="1:2" x14ac:dyDescent="0.25">
      <c r="A7" t="s">
        <v>5</v>
      </c>
      <c r="B7" s="6">
        <v>0.15395921548503838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0.027242140158289394</v>
      </c>
    </row>
    <row r="10" spans="1:2" x14ac:dyDescent="0.25">
      <c r="A10" t="s">
        <v>8</v>
      </c>
      <c r="B10" s="6">
        <v>0.036948610420542594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0.20194655559501143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1.0596299999999998</v>
      </c>
      <c r="C19" s="8" t="s">
        <v>19</v>
      </c>
    </row>
    <row r="20" spans="1:2" x14ac:dyDescent="0.25">
      <c r="A20" t="s">
        <v>20</v>
      </c>
      <c r="B20" s="10">
        <f>B17+B19*B18</f>
        <v>0.10825965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77859823616</v>
      </c>
    </row>
    <row r="23" spans="1:2" x14ac:dyDescent="0.25">
      <c r="A23" t="s">
        <v>24</v>
      </c>
      <c r="B23" s="11">
        <v>12942600000</v>
      </c>
    </row>
    <row r="24" spans="1:2" x14ac:dyDescent="0.25">
      <c r="A24" t="s">
        <v>25</v>
      </c>
      <c r="B24" s="10">
        <f>B22/(B22+B23)</f>
        <v>0.8574641569620017</v>
      </c>
    </row>
    <row r="25" spans="1:2" x14ac:dyDescent="0.25">
      <c r="A25" t="s">
        <v>26</v>
      </c>
      <c r="B25" s="10">
        <f>1-B24</f>
        <v>0.14253584303799827</v>
      </c>
    </row>
    <row r="26" spans="1:2" x14ac:dyDescent="0.25">
      <c r="A26" t="s">
        <v>27</v>
      </c>
      <c r="B26" s="12">
        <f>B24*B20+B25*B21*(1-B8)</f>
        <v>0.09845668325393231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23574300000</v>
      </c>
      <c r="C29" s="8" t="s">
        <v>30</v>
      </c>
    </row>
    <row r="30" spans="1:2" x14ac:dyDescent="0.25">
      <c r="A30" t="s">
        <v>31</v>
      </c>
      <c r="B30" s="11">
        <v>12735400000</v>
      </c>
    </row>
    <row r="31" spans="1:2" x14ac:dyDescent="0.25">
      <c r="A31" t="s">
        <v>32</v>
      </c>
      <c r="B31" s="13">
        <v>250400000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0.021007379883363875</v>
      </c>
      <c r="C5" s="10">
        <f>Assumptions!B6</f>
        <v>0.021007379883363875</v>
      </c>
      <c r="D5" s="10">
        <f>Assumptions!B6</f>
        <v>0.021007379883363875</v>
      </c>
      <c r="E5" s="10">
        <f>Assumptions!B6</f>
        <v>0.021007379883363875</v>
      </c>
      <c r="F5" s="10">
        <f>Assumptions!B6</f>
        <v>0.021007379883363875</v>
      </c>
    </row>
    <row r="6" spans="1:6" x14ac:dyDescent="0.25">
      <c r="A6" t="s">
        <v>43</v>
      </c>
      <c r="B6" s="18">
        <f>Assumptions!B29*(1+B5)</f>
        <v>24069534275.584385</v>
      </c>
      <c r="C6" s="18">
        <f>B6*(1+C5)</f>
        <v>24575172125.727234</v>
      </c>
      <c r="D6" s="18">
        <f>C6*(1+D5)</f>
        <v>25091432102.271442</v>
      </c>
      <c r="E6" s="18">
        <f>D6*(1+E5)</f>
        <v>25618537348.26149</v>
      </c>
      <c r="F6" s="18">
        <f>E6*(1+F5)</f>
        <v>26156715694.392563</v>
      </c>
    </row>
    <row r="7" spans="1:6" x14ac:dyDescent="0.25">
      <c r="A7" t="s">
        <v>5</v>
      </c>
      <c r="B7" s="10">
        <f>Assumptions!B7</f>
        <v>0.15395921548503838</v>
      </c>
      <c r="C7" s="10">
        <f>Assumptions!B7</f>
        <v>0.15395921548503838</v>
      </c>
      <c r="D7" s="10">
        <f>Assumptions!B7</f>
        <v>0.15395921548503838</v>
      </c>
      <c r="E7" s="10">
        <f>Assumptions!B7</f>
        <v>0.15395921548503838</v>
      </c>
      <c r="F7" s="10">
        <f>Assumptions!B7</f>
        <v>0.15395921548503838</v>
      </c>
    </row>
    <row r="8" spans="1:6" x14ac:dyDescent="0.25">
      <c r="A8" t="s">
        <v>44</v>
      </c>
      <c r="B8" s="18">
        <f>B6*B7</f>
        <v>3705726614.1592135</v>
      </c>
      <c r="C8" s="18">
        <f>C6*C7</f>
        <v>3783574220.886748</v>
      </c>
      <c r="D8" s="18">
        <f>D6*D7</f>
        <v>3863057201.861819</v>
      </c>
      <c r="E8" s="18">
        <f>E6*E7</f>
        <v>3944209912.0124946</v>
      </c>
      <c r="F8" s="18">
        <f>F6*F7</f>
        <v>4027067427.97387</v>
      </c>
    </row>
    <row r="9" spans="1:6" x14ac:dyDescent="0.25">
      <c r="A9" t="s">
        <v>45</v>
      </c>
      <c r="B9" s="18">
        <f>B8*(1-Assumptions!B8)</f>
        <v>2927524025.1857786</v>
      </c>
      <c r="C9" s="18">
        <f>C8*(1-Assumptions!B8)</f>
        <v>2989023634.5005307</v>
      </c>
      <c r="D9" s="18">
        <f>D8*(1-Assumptions!B8)</f>
        <v>3051815189.470837</v>
      </c>
      <c r="E9" s="18">
        <f>E8*(1-Assumptions!B8)</f>
        <v>3115925830.489871</v>
      </c>
      <c r="F9" s="18">
        <f>F8*(1-Assumptions!B8)</f>
        <v>3181383268.099357</v>
      </c>
    </row>
    <row r="10" spans="1:6" x14ac:dyDescent="0.25">
      <c r="A10" t="s">
        <v>46</v>
      </c>
      <c r="B10" s="18">
        <f>B6*Assumptions!B9</f>
        <v>655705626.2802204</v>
      </c>
      <c r="C10" s="18">
        <f>C6*Assumptions!B9</f>
        <v>669480283.463148</v>
      </c>
      <c r="D10" s="18">
        <f>D6*Assumptions!B9</f>
        <v>683544310.1022805</v>
      </c>
      <c r="E10" s="18">
        <f>E6*Assumptions!B9</f>
        <v>697903785.091711</v>
      </c>
      <c r="F10" s="18">
        <f>F6*Assumptions!B9</f>
        <v>712564915.0271701</v>
      </c>
    </row>
    <row r="11" spans="1:6" x14ac:dyDescent="0.25">
      <c r="A11" t="s">
        <v>47</v>
      </c>
      <c r="B11" s="18">
        <f>-B6*Assumptions!B10</f>
        <v>-889335844.9524643</v>
      </c>
      <c r="C11" s="18">
        <f>-C6*Assumptions!B10</f>
        <v>-908018460.8912731</v>
      </c>
      <c r="D11" s="18">
        <f>-D6*Assumptions!B10</f>
        <v>-927093549.6403235</v>
      </c>
      <c r="E11" s="18">
        <f>-E6*Assumptions!B10</f>
        <v>-946569356.0250341</v>
      </c>
      <c r="F11" s="18">
        <f>-F6*Assumptions!B10</f>
        <v>-966454298.073003</v>
      </c>
    </row>
    <row r="12" spans="1:6" x14ac:dyDescent="0.25">
      <c r="A12" t="s">
        <v>48</v>
      </c>
      <c r="B12" s="18">
        <f>-(B6-Assumptions!B29)*Assumptions!B11</f>
        <v>-495234275.5843849</v>
      </c>
      <c r="C12" s="18">
        <f>-(C6-B6)*Assumptions!B11</f>
        <v>-505637850.14284897</v>
      </c>
      <c r="D12" s="18">
        <f>-(D6-C6)*Assumptions!B11</f>
        <v>-516259976.5442085</v>
      </c>
      <c r="E12" s="18">
        <f>-(E6-D6)*Assumptions!B11</f>
        <v>-527105245.99004745</v>
      </c>
      <c r="F12" s="18">
        <f>-(F6-E6)*Assumptions!B11</f>
        <v>-538178346.131073</v>
      </c>
    </row>
    <row r="13" spans="1:6" x14ac:dyDescent="0.25">
      <c r="A13" s="19" t="s">
        <v>49</v>
      </c>
      <c r="B13" s="20">
        <f>B9+B10+B11+B12</f>
        <v>2198659530.9291496</v>
      </c>
      <c r="C13" s="20">
        <f>C9+C10+C11+C12</f>
        <v>2244847606.929557</v>
      </c>
      <c r="D13" s="20">
        <f>D9+D10+D11+D12</f>
        <v>2292005973.3885856</v>
      </c>
      <c r="E13" s="20">
        <f>E9+E10+E11+E12</f>
        <v>2340155013.5665007</v>
      </c>
      <c r="F13" s="20">
        <f>F9+F10+F11+F12</f>
        <v>2389315538.922451</v>
      </c>
    </row>
    <row r="14" spans="1:6" x14ac:dyDescent="0.25">
      <c r="A14" t="s">
        <v>50</v>
      </c>
      <c r="B14" s="21">
        <f>1/(1+Assumptions!$B$26)^(1-0.5*Assumptions!$B$32)</f>
        <v>0.9541321551503629</v>
      </c>
      <c r="C14" s="21">
        <f>1/(1+Assumptions!$B$26)^(2-0.5*Assumptions!$B$32)</f>
        <v>0.8686115435375749</v>
      </c>
      <c r="D14" s="21">
        <f>1/(1+Assumptions!$B$26)^(3-0.5*Assumptions!$B$32)</f>
        <v>0.7907563008898151</v>
      </c>
      <c r="E14" s="21">
        <f>1/(1+Assumptions!$B$26)^(4-0.5*Assumptions!$B$32)</f>
        <v>0.7198793661552283</v>
      </c>
      <c r="F14" s="21">
        <f>1/(1+Assumptions!$B$26)^(5-0.5*Assumptions!$B$32)</f>
        <v>0.6553552608217074</v>
      </c>
    </row>
    <row r="15" spans="1:6" x14ac:dyDescent="0.25">
      <c r="A15" s="19" t="s">
        <v>51</v>
      </c>
      <c r="B15" s="20">
        <f>B13*B14</f>
        <v>2097811756.6873155</v>
      </c>
      <c r="C15" s="20">
        <f>C13*C14</f>
        <v>1949900544.8617134</v>
      </c>
      <c r="D15" s="20">
        <f>D13*D14</f>
        <v>1812418165.1341178</v>
      </c>
      <c r="E15" s="20">
        <f>E13*E14</f>
        <v>1684629307.8712323</v>
      </c>
      <c r="F15" s="20">
        <f>F13*F14</f>
        <v>1565850508.1958811</v>
      </c>
    </row>
    <row r="17" spans="1:2" x14ac:dyDescent="0.25">
      <c r="A17" s="22" t="s">
        <v>52</v>
      </c>
      <c r="B17" s="23">
        <f>SUM(B15:F15)</f>
        <v>9110610282.75026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2389315538.922451</v>
      </c>
    </row>
    <row r="5" spans="1:2" x14ac:dyDescent="0.25">
      <c r="A5" t="s">
        <v>56</v>
      </c>
      <c r="B5" s="18">
        <f>IF(Assumptions!$B$33=0,B4,B4-Forecast!F11-Forecast!F10-Forecast!F12)</f>
        <v>3476145446.4750123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0.12379512949027768</v>
      </c>
    </row>
    <row r="7" spans="1:2" x14ac:dyDescent="0.25">
      <c r="A7" t="s">
        <v>58</v>
      </c>
      <c r="B7" s="18">
        <f>-MAX(Forecast!F9,0)*B6</f>
        <v>-430329875.6734133</v>
      </c>
    </row>
    <row r="8" spans="1:2" x14ac:dyDescent="0.25">
      <c r="A8" t="s">
        <v>59</v>
      </c>
      <c r="B8" s="18">
        <f>IF(OR(Assumptions!$B$33=0,Assumptions!B12&lt;=0),B5,MAX(B5+B7,0))</f>
        <v>3045815570.801599</v>
      </c>
    </row>
    <row r="9" spans="1:2" x14ac:dyDescent="0.25">
      <c r="A9" t="s">
        <v>60</v>
      </c>
      <c r="B9" s="18">
        <f>B8*(1+Assumptions!B12)/(Assumptions!B26-Assumptions!B12)</f>
        <v>42500706835.337715</v>
      </c>
    </row>
    <row r="10" spans="1:2" x14ac:dyDescent="0.25">
      <c r="A10" t="s">
        <v>61</v>
      </c>
      <c r="B10" s="18">
        <f>B9/(1+Assumptions!B26)^(5-0.5*Assumptions!B32)</f>
        <v>27853061813.17967</v>
      </c>
    </row>
    <row r="11" spans="1:2" x14ac:dyDescent="0.25">
      <c r="A11" t="s">
        <v>62</v>
      </c>
      <c r="B11" s="18">
        <f>Forecast!B17+B10</f>
        <v>36963672095.92993</v>
      </c>
    </row>
    <row r="12" spans="1:2" x14ac:dyDescent="0.25">
      <c r="A12" t="s">
        <v>63</v>
      </c>
      <c r="B12" s="18">
        <f>-Assumptions!B30</f>
        <v>-12735400000</v>
      </c>
    </row>
    <row r="13" spans="1:2" x14ac:dyDescent="0.25">
      <c r="A13" t="s">
        <v>64</v>
      </c>
      <c r="B13" s="18">
        <f>B11+B12</f>
        <v>24228272095.92993</v>
      </c>
    </row>
    <row r="14" spans="1:2" x14ac:dyDescent="0.25">
      <c r="A14" s="19" t="s">
        <v>65</v>
      </c>
      <c r="B14" s="24">
        <f>B13/Assumptions!B31</f>
        <v>96.75827514349014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4739632343.0010395</v>
      </c>
    </row>
    <row r="18" spans="1:2" x14ac:dyDescent="0.25">
      <c r="A18" t="s">
        <v>60</v>
      </c>
      <c r="B18" s="18">
        <f>B17*Assumptions!B13</f>
        <v>94792646860.02078</v>
      </c>
    </row>
    <row r="19" spans="1:2" x14ac:dyDescent="0.25">
      <c r="A19" t="s">
        <v>61</v>
      </c>
      <c r="B19" s="18">
        <f>B18/(1+Assumptions!B26)^(5-0.5*Assumptions!B32)</f>
        <v>62122859806.92892</v>
      </c>
    </row>
    <row r="20" spans="1:2" x14ac:dyDescent="0.25">
      <c r="A20" t="s">
        <v>62</v>
      </c>
      <c r="B20" s="18">
        <f>Forecast!B17+B19</f>
        <v>71233470089.67917</v>
      </c>
    </row>
    <row r="21" spans="1:2" x14ac:dyDescent="0.25">
      <c r="A21" t="s">
        <v>63</v>
      </c>
      <c r="B21" s="18">
        <f>-Assumptions!B30</f>
        <v>-12735400000</v>
      </c>
    </row>
    <row r="22" spans="1:2" x14ac:dyDescent="0.25">
      <c r="A22" t="s">
        <v>64</v>
      </c>
      <c r="B22" s="18">
        <f>B20+B21</f>
        <v>58498070089.67917</v>
      </c>
    </row>
    <row r="23" spans="1:2" x14ac:dyDescent="0.25">
      <c r="A23" s="19" t="s">
        <v>65</v>
      </c>
      <c r="B23" s="25">
        <f>B22/Assumptions!B31</f>
        <v>233.6184907734791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320.73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96.75827514349014</v>
      </c>
    </row>
    <row r="29" spans="1:2" x14ac:dyDescent="0.25">
      <c r="A29" s="19" t="s">
        <v>73</v>
      </c>
      <c r="B29" s="12">
        <f>B28/B26-1</f>
        <v>-0.6983186008683624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0.078457</v>
      </c>
      <c r="B5" s="31">
        <v>133.4700932373193</v>
      </c>
      <c r="C5" s="31">
        <v>142.4989492086945</v>
      </c>
      <c r="D5" s="31">
        <v>153.17102943308942</v>
      </c>
      <c r="E5" s="31">
        <v>165.9949985780505</v>
      </c>
      <c r="F5" s="31">
        <v>181.71362153320405</v>
      </c>
    </row>
    <row r="6" spans="1:6" x14ac:dyDescent="0.25">
      <c r="A6" s="30">
        <v>0.088457</v>
      </c>
      <c r="B6" s="31">
        <v>107.58144452852396</v>
      </c>
      <c r="C6" s="31">
        <v>113.58200199419241</v>
      </c>
      <c r="D6" s="31">
        <v>120.49118095954148</v>
      </c>
      <c r="E6" s="31">
        <v>128.542132672415</v>
      </c>
      <c r="F6" s="31">
        <v>138.0552378353004</v>
      </c>
    </row>
    <row r="7" spans="1:6" x14ac:dyDescent="0.25">
      <c r="A7" s="30">
        <v>0.098457</v>
      </c>
      <c r="B7" s="31">
        <v>87.95326092704484</v>
      </c>
      <c r="C7" s="31">
        <v>92.08925149543906</v>
      </c>
      <c r="D7" s="32">
        <v>96.75762646694753</v>
      </c>
      <c r="E7" s="31">
        <v>102.07503959570379</v>
      </c>
      <c r="F7" s="31">
        <v>108.19491087254752</v>
      </c>
    </row>
    <row r="8" spans="1:6" x14ac:dyDescent="0.25">
      <c r="A8" s="30">
        <v>0.108457</v>
      </c>
      <c r="B8" s="31">
        <v>72.57293149979529</v>
      </c>
      <c r="C8" s="31">
        <v>75.50000188506587</v>
      </c>
      <c r="D8" s="31">
        <v>78.75188831750489</v>
      </c>
      <c r="E8" s="31">
        <v>82.39069157470432</v>
      </c>
      <c r="F8" s="31">
        <v>86.49542049682105</v>
      </c>
    </row>
    <row r="9" spans="1:6" x14ac:dyDescent="0.25">
      <c r="A9" s="30">
        <v>0.118457</v>
      </c>
      <c r="B9" s="31">
        <v>60.20616754860748</v>
      </c>
      <c r="C9" s="31">
        <v>62.317804074807164</v>
      </c>
      <c r="D9" s="31">
        <v>64.63316520459259</v>
      </c>
      <c r="E9" s="31">
        <v>67.18679731703823</v>
      </c>
      <c r="F9" s="31">
        <v>70.02152563639005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23574300000</v>
      </c>
      <c r="C5" s="18">
        <v>23098500000</v>
      </c>
      <c r="D5" s="18">
        <v>23051900000</v>
      </c>
      <c r="E5" s="18">
        <v>22148900000</v>
      </c>
      <c r="F5" s="8" t="s">
        <v>84</v>
      </c>
    </row>
    <row r="6" spans="1:6" x14ac:dyDescent="0.25">
      <c r="A6" t="s">
        <v>44</v>
      </c>
      <c r="B6" s="18">
        <v>3796700000</v>
      </c>
      <c r="C6" s="18">
        <v>3761900000</v>
      </c>
      <c r="D6" s="18">
        <v>3606400000</v>
      </c>
      <c r="E6" s="18">
        <v>3000600000</v>
      </c>
      <c r="F6" s="8" t="s">
        <v>85</v>
      </c>
    </row>
    <row r="7" spans="1:6" x14ac:dyDescent="0.25">
      <c r="A7" t="s">
        <v>86</v>
      </c>
      <c r="B7" s="18">
        <v>676900000</v>
      </c>
      <c r="C7" s="18">
        <v>624000000</v>
      </c>
      <c r="D7" s="18">
        <v>622500000</v>
      </c>
      <c r="E7" s="18">
        <v>581100000</v>
      </c>
      <c r="F7" s="8" t="s">
        <v>87</v>
      </c>
    </row>
    <row r="8" spans="1:6" x14ac:dyDescent="0.25">
      <c r="A8" t="s">
        <v>88</v>
      </c>
      <c r="B8" s="18">
        <v>797600000</v>
      </c>
      <c r="C8" s="18">
        <v>1070000000</v>
      </c>
      <c r="D8" s="18">
        <v>888400000</v>
      </c>
      <c r="E8" s="18">
        <v>644500000</v>
      </c>
      <c r="F8" s="8" t="s">
        <v>89</v>
      </c>
    </row>
    <row r="9" spans="1:6" x14ac:dyDescent="0.25">
      <c r="A9" t="s">
        <v>90</v>
      </c>
      <c r="B9" s="18">
        <v>636300000</v>
      </c>
      <c r="C9" s="18">
        <v>503900000</v>
      </c>
      <c r="D9" s="18">
        <v>192900000</v>
      </c>
      <c r="E9" s="18">
        <v>1150300000</v>
      </c>
      <c r="F9" s="8" t="s">
        <v>91</v>
      </c>
    </row>
    <row r="10" spans="1:6" x14ac:dyDescent="0.25">
      <c r="A10" t="s">
        <v>92</v>
      </c>
      <c r="B10" s="18">
        <v>12942600000</v>
      </c>
      <c r="C10" s="18">
        <v>11913300000</v>
      </c>
      <c r="D10" s="18">
        <v>11809700000</v>
      </c>
      <c r="E10" s="18">
        <v>12507900000</v>
      </c>
      <c r="F10" s="8" t="s">
        <v>93</v>
      </c>
    </row>
    <row r="11" spans="1:6" x14ac:dyDescent="0.25">
      <c r="A11" t="s">
        <v>94</v>
      </c>
      <c r="B11" s="18">
        <v>207200000</v>
      </c>
      <c r="C11" s="18">
        <v>210400000</v>
      </c>
      <c r="D11" s="18">
        <v>276800000</v>
      </c>
      <c r="E11" s="18">
        <v>198800000</v>
      </c>
      <c r="F11" s="8" t="s">
        <v>95</v>
      </c>
    </row>
    <row r="12" spans="1:6" x14ac:dyDescent="0.25">
      <c r="A12" t="s">
        <v>32</v>
      </c>
      <c r="B12" s="34">
        <v>250400000</v>
      </c>
      <c r="C12" s="34">
        <v>254100000</v>
      </c>
      <c r="D12" s="34">
        <v>258300000</v>
      </c>
      <c r="E12" s="34">
        <v>261800000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