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<sst xmlns="http://schemas.openxmlformats.org/spreadsheetml/2006/main" count="121" uniqueCount="108">
  <si>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The Sherwin-Williams Company (SHW)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</si>
  <si>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</si>
  <si>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</si>
  <si>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</si>
  <si>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</si>
  <si>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</si>
  <si>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</si>
  <si>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</si>
  <si>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</si>
  <si>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</si>
  <si>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</si>
  <si>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</si>
  <si>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</si>
  <si>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</si>
  <si>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</si>
  <si>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</si>
  <si>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</si>
  <si>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</si>
  <si>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</si>
  <si>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</si>
  <si>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</si>
  <si>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</si>
  <si>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</si>
  <si>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</si>
  <si>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8.2x interest cover. Book interest / average debt was lower, at 3.7%.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</si>
  <si>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</si>
  <si>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</si>
  <si>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</si>
  <si>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</si>
  <si>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</si>
  <si>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</si>
  <si>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</si>
  <si>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</si>
  <si>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</si>
  <si>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</si>
  <si>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</si>
  <si>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</si>
  <si>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</si>
  <si>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</si>
  <si>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</si>
  <si>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</si>
  <si>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</si>
  <si>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</si>
  <si>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</si>
  <si>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</si>
  <si>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</si>
  <si>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</si>
  <si>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</si>
  <si>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</si>
  <si>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</si>
  <si>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</si>
  <si>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</si>
  <si>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</si>
  <si>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</si>
  <si>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</si>
  <si>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</si>
  <si>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</si>
  <si>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</si>
  <si>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</si>
  <si>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</si>
  <si>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</si>
  <si>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</si>
  <si>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</si>
  <si>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</si>
  <si>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</si>
  <si>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</si>
  <si>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</si>
  <si>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</si>
  <si>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</si>
  <si>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</si>
  <si>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</si>
  <si>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</si>
  <si>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</si>
  <si>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</si>
  <si>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</si>
  <si>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</si>
  <si>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</si>
  <si>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</si>
  <si>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</si>
  <si>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</si>
  <si>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</si>
  <si>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</si>
  <si>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</si>
  <si>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</si>
  <si>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</si>
  <si>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</si>
  <si>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</si>
  <si>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</si>
  <si>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</si>
  <si>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</si>
  <si>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</si>
  <si>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</si>
  <si>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</si>
  <si>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</si>
  <si>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</si>
  <si>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</si>
  <si>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</si>
  <si>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</si>
  <si>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</si>
  <si>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</si>
  <si>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</si>
  <si>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</si>
  <si>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</si>
  <si>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</si>
  <si>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</si>
  <si>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3.7% of revenue against depreciation of 2.7%.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</si>
  <si>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20.8x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</si>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</sst>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0.06891195836143593</v>
      </c>
    </row>
    <row r="7" spans="1:2" x14ac:dyDescent="0.25">
      <c r="A7" t="s">
        <v>4</v>
      </c>
      <c r="B7" s="5">
        <v>0.15395921548503838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0.027242140158289394</v>
      </c>
    </row>
    <row r="10" spans="1:3" x14ac:dyDescent="0.25">
      <c r="A10" t="s">
        <v>7</v>
      </c>
      <c r="B10" s="5">
        <v>0.036948610420542594</v>
      </c>
      <c r="C10" s="6" t="s">
        <v>8</v>
      </c>
    </row>
    <row r="11" spans="1:2" x14ac:dyDescent="0.25">
      <c r="A11" t="s">
        <v>9</v>
      </c>
      <c r="B11" s="5">
        <v>0.11228674266052374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0.20194655559501143</v>
      </c>
      <c r="C14" s="6" t="s">
        <v>13</v>
      </c>
    </row>
    <row r="15" spans="1:3" x14ac:dyDescent="0.25">
      <c r="A15" t="s">
        <v>14</v>
      </c>
      <c r="B15" s="5">
        <v>0.012977479187563644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1.05561</v>
      </c>
      <c r="C19" s="6" t="s">
        <v>21</v>
      </c>
    </row>
    <row r="20" spans="1:2" x14ac:dyDescent="0.25">
      <c r="A20" t="s">
        <v>22</v>
      </c>
      <c r="B20" s="9">
        <f>B17+B19*B18</f>
        <v>0.093592303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80354598912</v>
      </c>
    </row>
    <row r="23" spans="1:2" x14ac:dyDescent="0.25">
      <c r="A23" t="s">
        <v>26</v>
      </c>
      <c r="B23" s="10">
        <v>12942600000</v>
      </c>
    </row>
    <row r="24" spans="1:2" x14ac:dyDescent="0.25">
      <c r="A24" t="s">
        <v>27</v>
      </c>
      <c r="B24" s="9">
        <f>B22/(B22+B23)</f>
        <v>0.8612755779280389</v>
      </c>
    </row>
    <row r="25" spans="1:2" x14ac:dyDescent="0.25">
      <c r="A25" t="s">
        <v>28</v>
      </c>
      <c r="B25" s="9">
        <f>1-B24</f>
        <v>0.13872442207196112</v>
      </c>
    </row>
    <row r="26" spans="1:2" x14ac:dyDescent="0.25">
      <c r="A26" t="s">
        <v>29</v>
      </c>
      <c r="B26" s="11">
        <f>B24*B20+B25*B21*(1-B8)</f>
        <v>0.0865749693106432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23574300000</v>
      </c>
      <c r="C29" s="6" t="s">
        <v>32</v>
      </c>
    </row>
    <row r="30" spans="1:2" x14ac:dyDescent="0.25">
      <c r="A30" t="s">
        <v>33</v>
      </c>
      <c r="B30" s="10">
        <v>12735400000</v>
      </c>
    </row>
    <row r="31" spans="1:2" x14ac:dyDescent="0.25">
      <c r="A31" t="s">
        <v>34</v>
      </c>
      <c r="B31" s="12">
        <v>250400000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0.06891195836143593</v>
      </c>
      <c r="C5" s="5">
        <v>0.04162424518910157</v>
      </c>
      <c r="D5" s="5">
        <v>0.03954621454046388</v>
      </c>
      <c r="E5" s="5">
        <v>0.03746818389182618</v>
      </c>
      <c r="F5" s="5">
        <v>0.035390153243188484</v>
      </c>
      <c r="G5" s="5">
        <v>0.03331212259455078</v>
      </c>
      <c r="H5" s="5">
        <v>0.03123409194591309</v>
      </c>
      <c r="I5" s="5">
        <v>0.029156061297275396</v>
      </c>
      <c r="J5" s="5">
        <v>0.0270780306486377</v>
      </c>
      <c r="K5" s="5">
        <v>0.025</v>
      </c>
    </row>
    <row r="6" spans="1:11" x14ac:dyDescent="0.25">
      <c r="A6" t="s">
        <v>50</v>
      </c>
      <c r="B6" s="18">
        <f>Assumptions!B29*(1+B5)</f>
        <v>25198851180</v>
      </c>
      <c r="C6" s="18">
        <f>B6*(1+C5)</f>
        <v>26247734340</v>
      </c>
      <c r="D6" s="18">
        <f>C6*(1+D5)</f>
        <v>27285732873.410744</v>
      </c>
      <c r="E6" s="18">
        <f>D6*(1+E5)</f>
        <v>28308079730.334946</v>
      </c>
      <c r="F6" s="18">
        <f>E6*(1+F5)</f>
        <v>29309907010.011894</v>
      </c>
      <c r="G6" s="18">
        <f>F6*(1+G5)</f>
        <v>30286282225.564293</v>
      </c>
      <c r="H6" s="18">
        <f>G6*(1+H5)</f>
        <v>31232246749.29744</v>
      </c>
      <c r="I6" s="18">
        <f>H6*(1+I5)</f>
        <v>32142856049.97159</v>
      </c>
      <c r="J6" s="18">
        <f>I6*(1+J5)</f>
        <v>33013221291.22747</v>
      </c>
      <c r="K6" s="18">
        <f>J6*(1+K5)</f>
        <v>33838551823.508156</v>
      </c>
    </row>
    <row r="7" spans="1:11" x14ac:dyDescent="0.25">
      <c r="A7" t="s">
        <v>4</v>
      </c>
      <c r="B7" s="9">
        <f>Assumptions!B7</f>
        <v>0.15395921548503838</v>
      </c>
      <c r="C7" s="9">
        <f>Assumptions!B7</f>
        <v>0.15395921548503838</v>
      </c>
      <c r="D7" s="9">
        <f>Assumptions!B7</f>
        <v>0.15395921548503838</v>
      </c>
      <c r="E7" s="9">
        <f>Assumptions!B7</f>
        <v>0.15395921548503838</v>
      </c>
      <c r="F7" s="9">
        <f>Assumptions!B7</f>
        <v>0.15395921548503838</v>
      </c>
      <c r="G7" s="9">
        <f>Assumptions!B7</f>
        <v>0.15395921548503838</v>
      </c>
      <c r="H7" s="9">
        <f>Assumptions!B7</f>
        <v>0.15395921548503838</v>
      </c>
      <c r="I7" s="9">
        <f>Assumptions!B7</f>
        <v>0.15395921548503838</v>
      </c>
      <c r="J7" s="9">
        <f>Assumptions!B7</f>
        <v>0.15395921548503838</v>
      </c>
      <c r="K7" s="9">
        <f>Assumptions!B7</f>
        <v>0.15395921548503838</v>
      </c>
    </row>
    <row r="8" spans="1:11" x14ac:dyDescent="0.25">
      <c r="A8" t="s">
        <v>51</v>
      </c>
      <c r="B8" s="18">
        <f>B6*B7</f>
        <v>3879595358.797034</v>
      </c>
      <c r="C8" s="18">
        <f>C6*C7</f>
        <v>4041080587.246102</v>
      </c>
      <c r="D8" s="18">
        <f>D6*D7</f>
        <v>4200890027.12464</v>
      </c>
      <c r="E8" s="18">
        <f>E6*E7</f>
        <v>4358289747.170285</v>
      </c>
      <c r="F8" s="18">
        <f>F6*F7</f>
        <v>4512530289.200858</v>
      </c>
      <c r="G8" s="18">
        <f>G6*G7</f>
        <v>4662852251.406341</v>
      </c>
      <c r="H8" s="18">
        <f>H6*H7</f>
        <v>4808492207.356974</v>
      </c>
      <c r="I8" s="18">
        <f>I6*I7</f>
        <v>4948688900.902145</v>
      </c>
      <c r="J8" s="18">
        <f>J6*J7</f>
        <v>5082689650.631347</v>
      </c>
      <c r="K8" s="18">
        <f>K6*K7</f>
        <v>5209756891.897131</v>
      </c>
    </row>
    <row r="9" spans="1:11" x14ac:dyDescent="0.25">
      <c r="A9" t="s">
        <v>52</v>
      </c>
      <c r="B9" s="18">
        <f>B8*(1-Assumptions!B8)</f>
        <v>3064880333.449657</v>
      </c>
      <c r="C9" s="18">
        <f>C8*(1-Assumptions!B8)</f>
        <v>3192453663.924421</v>
      </c>
      <c r="D9" s="18">
        <f>D8*(1-Assumptions!B8)</f>
        <v>3318703121.428466</v>
      </c>
      <c r="E9" s="18">
        <f>E8*(1-Assumptions!B8)</f>
        <v>3443048900.2645254</v>
      </c>
      <c r="F9" s="18">
        <f>F8*(1-Assumptions!B8)</f>
        <v>3564898928.468678</v>
      </c>
      <c r="G9" s="18">
        <f>G8*(1-Assumptions!B8)</f>
        <v>3683653278.611009</v>
      </c>
      <c r="H9" s="18">
        <f>H8*(1-Assumptions!B8)</f>
        <v>3798708843.8120093</v>
      </c>
      <c r="I9" s="18">
        <f>I8*(1-Assumptions!B8)</f>
        <v>3909464231.712695</v>
      </c>
      <c r="J9" s="18">
        <f>J8*(1-Assumptions!B8)</f>
        <v>4015324823.998764</v>
      </c>
      <c r="K9" s="18">
        <f>K8*(1-Assumptions!B8)</f>
        <v>4115707944.5987334</v>
      </c>
    </row>
    <row r="10" spans="1:11" x14ac:dyDescent="0.25">
      <c r="A10" t="s">
        <v>53</v>
      </c>
      <c r="B10" s="18">
        <f>B6*Assumptions!B9</f>
        <v>686470635.673436</v>
      </c>
      <c r="C10" s="18">
        <f>C6*Assumptions!B9</f>
        <v>715044457.7278255</v>
      </c>
      <c r="D10" s="18">
        <f>D6*Assumptions!B9</f>
        <v>743321759.2590998</v>
      </c>
      <c r="E10" s="18">
        <f>E6*Assumptions!B9</f>
        <v>771172675.6258156</v>
      </c>
      <c r="F10" s="18">
        <f>F6*Assumptions!B9</f>
        <v>798464594.7931728</v>
      </c>
      <c r="G10" s="18">
        <f>G6*Assumptions!B9</f>
        <v>825063145.2623312</v>
      </c>
      <c r="H10" s="18">
        <f>H6*Assumptions!B9</f>
        <v>850833243.4026392</v>
      </c>
      <c r="I10" s="18">
        <f>I6*Assumptions!B9</f>
        <v>875640189.6010462</v>
      </c>
      <c r="J10" s="18">
        <f>J6*Assumptions!B9</f>
        <v>899350801.4922423</v>
      </c>
      <c r="K10" s="18">
        <f>K6*Assumptions!B9</f>
        <v>921834571.5295483</v>
      </c>
    </row>
    <row r="11" spans="1:11" x14ac:dyDescent="0.25">
      <c r="A11" t="s">
        <v>54</v>
      </c>
      <c r="B11" s="18">
        <f>-B6*B19</f>
        <v>-931062535.29505</v>
      </c>
      <c r="C11" s="18">
        <f>-C6*C19</f>
        <v>-947888358.1692804</v>
      </c>
      <c r="D11" s="18">
        <f>-D6*D19</f>
        <v>-962577595.1050562</v>
      </c>
      <c r="E11" s="18">
        <f>-E6*E19</f>
        <v>-974993339.3180045</v>
      </c>
      <c r="F11" s="18">
        <f>-F6*F19</f>
        <v>-985011225.4849888</v>
      </c>
      <c r="G11" s="18">
        <f>-G6*G19</f>
        <v>-992521039.471947</v>
      </c>
      <c r="H11" s="18">
        <f>-H6*H19</f>
        <v>-997428215.9128705</v>
      </c>
      <c r="I11" s="18">
        <f>-I6*I19</f>
        <v>-999655198.8026046</v>
      </c>
      <c r="J11" s="18">
        <f>-J6*J19</f>
        <v>-999142641.5848696</v>
      </c>
      <c r="K11" s="18">
        <f>-K6*K19</f>
        <v>-995850425.0122846</v>
      </c>
    </row>
    <row r="12" spans="1:11" x14ac:dyDescent="0.25">
      <c r="A12" t="s">
        <v>55</v>
      </c>
      <c r="B12" s="18">
        <f>-(B6-Assumptions!B29)*Assumptions!B11</f>
        <v>-182415560.2875102</v>
      </c>
      <c r="C12" s="18">
        <f>-(C6-B6)*Assumptions!B11</f>
        <v>-117775673.46787696</v>
      </c>
      <c r="D12" s="18">
        <f>-(D6-C6)*Assumptions!B11</f>
        <v>-116553474.20309323</v>
      </c>
      <c r="E12" s="18">
        <f>-(E6-D6)*Assumptions!B11</f>
        <v>-114795998.43324316</v>
      </c>
      <c r="F12" s="18">
        <f>-(F6-E6)*Assumptions!B11</f>
        <v>-112491921.94337806</v>
      </c>
      <c r="G12" s="18">
        <f>-(G6-F6)*Assumptions!B11</f>
        <v>-109633992.56884558</v>
      </c>
      <c r="H12" s="18">
        <f>-(H6-G6)*Assumptions!B11</f>
        <v>-106219275.04240875</v>
      </c>
      <c r="I12" s="18">
        <f>-(I6-H6)*Assumptions!B11</f>
        <v>-102249352.20907761</v>
      </c>
      <c r="J12" s="18">
        <f>-(J6-I6)*Assumptions!B11</f>
        <v>-97730477.86556391</v>
      </c>
      <c r="K12" s="18">
        <f>-(K6-J6)*Assumptions!B11</f>
        <v>-92673677.0880744</v>
      </c>
    </row>
    <row r="13" spans="1:11" x14ac:dyDescent="0.25">
      <c r="A13" s="19" t="s">
        <v>56</v>
      </c>
      <c r="B13" s="20">
        <f>B9+B10+B11+B12</f>
        <v>2637872873.5405326</v>
      </c>
      <c r="C13" s="20">
        <f>C9+C10+C11+C12</f>
        <v>2841834090.015089</v>
      </c>
      <c r="D13" s="20">
        <f>D9+D10+D11+D12</f>
        <v>2982893811.3794165</v>
      </c>
      <c r="E13" s="20">
        <f>E9+E10+E11+E12</f>
        <v>3124432238.139093</v>
      </c>
      <c r="F13" s="20">
        <f>F9+F10+F11+F12</f>
        <v>3265860375.8334837</v>
      </c>
      <c r="G13" s="20">
        <f>G9+G10+G11+G12</f>
        <v>3406561391.832548</v>
      </c>
      <c r="H13" s="20">
        <f>H9+H10+H11+H12</f>
        <v>3545894596.259369</v>
      </c>
      <c r="I13" s="20">
        <f>I9+I10+I11+I12</f>
        <v>3683199870.302059</v>
      </c>
      <c r="J13" s="20">
        <f>J9+J10+J11+J12</f>
        <v>3817802506.0405736</v>
      </c>
      <c r="K13" s="20">
        <f>K9+K10+K11+K12</f>
        <v>3949018414.0279226</v>
      </c>
    </row>
    <row r="14" spans="1:11" x14ac:dyDescent="0.25">
      <c r="A14" t="s">
        <v>57</v>
      </c>
      <c r="B14" s="21">
        <f>1/(1+Assumptions!$B$26)^(1-0.5*Assumptions!$B$32)</f>
        <v>0.9593346962236041</v>
      </c>
      <c r="C14" s="21">
        <f>1/(1+Assumptions!$B$26)^(2-0.5*Assumptions!$B$32)</f>
        <v>0.8828978425963887</v>
      </c>
      <c r="D14" s="21">
        <f>1/(1+Assumptions!$B$26)^(3-0.5*Assumptions!$B$32)</f>
        <v>0.812551243616928</v>
      </c>
      <c r="E14" s="21">
        <f>1/(1+Assumptions!$B$26)^(4-0.5*Assumptions!$B$32)</f>
        <v>0.7478096464272831</v>
      </c>
      <c r="F14" s="21">
        <f>1/(1+Assumptions!$B$26)^(5-0.5*Assumptions!$B$32)</f>
        <v>0.6882264616326628</v>
      </c>
      <c r="G14" s="21">
        <f>1/(1+Assumptions!$B$26)^(6-0.5*Assumptions!$B$32)</f>
        <v>0.6333906827149671</v>
      </c>
      <c r="H14" s="21">
        <f>1/(1+Assumptions!$B$26)^(7-0.5*Assumptions!$B$32)</f>
        <v>0.582924050898034</v>
      </c>
      <c r="I14" s="21">
        <f>1/(1+Assumptions!$B$26)^(8-0.5*Assumptions!$B$32)</f>
        <v>0.5364784459077491</v>
      </c>
      <c r="J14" s="21">
        <f>1/(1+Assumptions!$B$26)^(9-0.5*Assumptions!$B$32)</f>
        <v>0.49373348462840766</v>
      </c>
      <c r="K14" s="21">
        <f>1/(1+Assumptions!$B$26)^(10-0.5*Assumptions!$B$32)</f>
        <v>0.45439431109079154</v>
      </c>
    </row>
    <row r="15" spans="1:11" x14ac:dyDescent="0.25">
      <c r="A15" s="19" t="s">
        <v>58</v>
      </c>
      <c r="B15" s="20">
        <f>B13*B14</f>
        <v>2530602971.8144927</v>
      </c>
      <c r="C15" s="20">
        <f>C13*C14</f>
        <v>2509049187.0911937</v>
      </c>
      <c r="D15" s="20">
        <f>D13*D14</f>
        <v>2423754076.013583</v>
      </c>
      <c r="E15" s="20">
        <f>E13*E14</f>
        <v>2336480567.2888</v>
      </c>
      <c r="F15" s="20">
        <f>F13*F14</f>
        <v>2247651530.646197</v>
      </c>
      <c r="G15" s="20">
        <f>G13*G14</f>
        <v>2157684245.683266</v>
      </c>
      <c r="H15" s="20">
        <f>H13*H14</f>
        <v>2066987242.1089602</v>
      </c>
      <c r="I15" s="20">
        <f>I13*I14</f>
        <v>1975957342.3872716</v>
      </c>
      <c r="J15" s="20">
        <f>J13*J14</f>
        <v>1884976934.9304798</v>
      </c>
      <c r="K15" s="20">
        <f>K13*K14</f>
        <v>1794411501.7270682</v>
      </c>
    </row>
    <row r="17" spans="1:2" x14ac:dyDescent="0.25">
      <c r="A17" s="22" t="s">
        <v>59</v>
      </c>
      <c r="B17" s="23">
        <f>SUM(B15:K15)</f>
        <v>21927555599.691315</v>
      </c>
    </row>
    <row r="19" spans="1:11" x14ac:dyDescent="0.25">
      <c r="A19" t="s">
        <v>7</v>
      </c>
      <c r="B19" s="9">
        <f>Assumptions!$B$10+($B$20-Assumptions!$B$10)*0/9</f>
        <v>0.036948610420542594</v>
      </c>
      <c r="C19" s="9">
        <f>Assumptions!$B$10+($B$20-Assumptions!$B$10)*1/9</f>
        <v>0.036113149649063404</v>
      </c>
      <c r="D19" s="9">
        <f>Assumptions!$B$10+($B$20-Assumptions!$B$10)*2/9</f>
        <v>0.035277688877584215</v>
      </c>
      <c r="E19" s="9">
        <f>Assumptions!$B$10+($B$20-Assumptions!$B$10)*3/9</f>
        <v>0.03444222810610503</v>
      </c>
      <c r="F19" s="9">
        <f>Assumptions!$B$10+($B$20-Assumptions!$B$10)*4/9</f>
        <v>0.033606767334625844</v>
      </c>
      <c r="G19" s="9">
        <f>Assumptions!$B$10+($B$20-Assumptions!$B$10)*5/9</f>
        <v>0.032771306563146654</v>
      </c>
      <c r="H19" s="9">
        <f>Assumptions!$B$10+($B$20-Assumptions!$B$10)*6/9</f>
        <v>0.031935845791667465</v>
      </c>
      <c r="I19" s="9">
        <f>Assumptions!$B$10+($B$20-Assumptions!$B$10)*7/9</f>
        <v>0.03110038502018828</v>
      </c>
      <c r="J19" s="9">
        <f>Assumptions!$B$10+($B$20-Assumptions!$B$10)*8/9</f>
        <v>0.030264924248709094</v>
      </c>
      <c r="K19" s="9">
        <f>Assumptions!$B$10+($B$20-Assumptions!$B$10)*9/9</f>
        <v>0.029429463477229904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0.029429463477229904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3949018414.0279226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4497037365.505849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0.12379512949027768</v>
      </c>
    </row>
    <row r="7" spans="1:2" x14ac:dyDescent="0.25">
      <c r="A7" t="s">
        <v>66</v>
      </c>
      <c r="B7" s="18">
        <f>-MAX(B5,0)*B6</f>
        <v>-556711322.9854138</v>
      </c>
    </row>
    <row r="8" spans="1:2" x14ac:dyDescent="0.25">
      <c r="A8" t="s">
        <v>67</v>
      </c>
      <c r="B8" s="18">
        <f>IF(OR(Assumptions!$B$33=0,Assumptions!B12&lt;=0),B5,MAX(B5+B7,0))</f>
        <v>3940326042.5204353</v>
      </c>
    </row>
    <row r="9" spans="1:2" x14ac:dyDescent="0.25">
      <c r="A9" t="s">
        <v>68</v>
      </c>
      <c r="B9" s="18">
        <f>B8*(1+Assumptions!B12)/(Assumptions!B26-Assumptions!B12)</f>
        <v>65592143021.7479</v>
      </c>
    </row>
    <row r="10" spans="1:2" x14ac:dyDescent="0.25">
      <c r="A10" t="s">
        <v>69</v>
      </c>
      <c r="B10" s="18">
        <f>B9/(1+Assumptions!B26)^(10-0.5*Assumptions!B32)</f>
        <v>29804696641.335808</v>
      </c>
    </row>
    <row r="11" spans="1:2" x14ac:dyDescent="0.25">
      <c r="A11" t="s">
        <v>70</v>
      </c>
      <c r="B11" s="18">
        <f>Forecast!B17+B10</f>
        <v>51732252241.02712</v>
      </c>
    </row>
    <row r="12" spans="1:2" x14ac:dyDescent="0.25">
      <c r="A12" t="s">
        <v>71</v>
      </c>
      <c r="B12" s="18">
        <f>-Assumptions!B30</f>
        <v>-12735400000</v>
      </c>
    </row>
    <row r="13" spans="1:2" x14ac:dyDescent="0.25">
      <c r="A13" t="s">
        <v>72</v>
      </c>
      <c r="B13" s="18">
        <f>B11+B12</f>
        <v>38996852241.02712</v>
      </c>
    </row>
    <row r="14" spans="1:2" x14ac:dyDescent="0.25">
      <c r="A14" s="19" t="s">
        <v>73</v>
      </c>
      <c r="B14" s="24">
        <f>B13/Assumptions!B31</f>
        <v>155.73822779962907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6131591463.42668</v>
      </c>
    </row>
    <row r="18" spans="1:2" x14ac:dyDescent="0.25">
      <c r="A18" t="s">
        <v>68</v>
      </c>
      <c r="B18" s="18">
        <f>B17*Assumptions!B13</f>
        <v>122631829268.5336</v>
      </c>
    </row>
    <row r="19" spans="1:2" x14ac:dyDescent="0.25">
      <c r="A19" t="s">
        <v>69</v>
      </c>
      <c r="B19" s="18">
        <f>B18/(1+Assumptions!B26)^(10-0.5*Assumptions!B32)</f>
        <v>55723205578.27889</v>
      </c>
    </row>
    <row r="20" spans="1:2" x14ac:dyDescent="0.25">
      <c r="A20" t="s">
        <v>70</v>
      </c>
      <c r="B20" s="18">
        <f>Forecast!B17+B19</f>
        <v>77650761177.97021</v>
      </c>
    </row>
    <row r="21" spans="1:2" x14ac:dyDescent="0.25">
      <c r="A21" t="s">
        <v>71</v>
      </c>
      <c r="B21" s="18">
        <f>-Assumptions!B30</f>
        <v>-12735400000</v>
      </c>
    </row>
    <row r="22" spans="1:2" x14ac:dyDescent="0.25">
      <c r="A22" t="s">
        <v>72</v>
      </c>
      <c r="B22" s="18">
        <f>B20+B21</f>
        <v>64915361177.970215</v>
      </c>
    </row>
    <row r="23" spans="1:2" x14ac:dyDescent="0.25">
      <c r="A23" s="19" t="s">
        <v>73</v>
      </c>
      <c r="B23" s="25">
        <f>B22/Assumptions!B31</f>
        <v>259.24665007176606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332.61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155.73822779962907</v>
      </c>
    </row>
    <row r="29" spans="1:2" x14ac:dyDescent="0.25">
      <c r="A29" s="19" t="s">
        <v>81</v>
      </c>
      <c r="B29" s="11">
        <f>B28/B26-1</f>
        <v>-0.5317692558863862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0.066575</v>
      </c>
      <c r="B5" s="31">
        <v>224.8276562254949</v>
      </c>
      <c r="C5" s="31">
        <v>238.2262486178606</v>
      </c>
      <c r="D5" s="31">
        <v>255.1098338383446</v>
      </c>
      <c r="E5" s="31">
        <v>276.90766390121297</v>
      </c>
      <c r="F5" s="31">
        <v>305.95429692636316</v>
      </c>
    </row>
    <row r="6" spans="1:6" x14ac:dyDescent="0.25">
      <c r="A6" s="30">
        <v>0.076575</v>
      </c>
      <c r="B6" s="31">
        <v>179.07561970705746</v>
      </c>
      <c r="C6" s="31">
        <v>186.5920082993252</v>
      </c>
      <c r="D6" s="31">
        <v>195.76561645388747</v>
      </c>
      <c r="E6" s="31">
        <v>207.1301702777635</v>
      </c>
      <c r="F6" s="31">
        <v>221.47614926679722</v>
      </c>
    </row>
    <row r="7" spans="1:6" x14ac:dyDescent="0.25">
      <c r="A7" s="30">
        <v>0.086575</v>
      </c>
      <c r="B7" s="31">
        <v>146.19440970714612</v>
      </c>
      <c r="C7" s="31">
        <v>150.53463894626947</v>
      </c>
      <c r="D7" s="32">
        <v>155.73812496790475</v>
      </c>
      <c r="E7" s="31">
        <v>162.03374716644308</v>
      </c>
      <c r="F7" s="31">
        <v>169.7391408817497</v>
      </c>
    </row>
    <row r="8" spans="1:6" x14ac:dyDescent="0.25">
      <c r="A8" s="30">
        <v>0.096575</v>
      </c>
      <c r="B8" s="31">
        <v>121.44497185161724</v>
      </c>
      <c r="C8" s="31">
        <v>123.94731122570641</v>
      </c>
      <c r="D8" s="31">
        <v>126.92830028577283</v>
      </c>
      <c r="E8" s="31">
        <v>130.4957834973014</v>
      </c>
      <c r="F8" s="31">
        <v>134.79263397879683</v>
      </c>
    </row>
    <row r="9" spans="1:6" x14ac:dyDescent="0.25">
      <c r="A9" s="30">
        <v>0.106575</v>
      </c>
      <c r="B9" s="31">
        <v>102.15870281516032</v>
      </c>
      <c r="C9" s="31">
        <v>103.54503169305491</v>
      </c>
      <c r="D9" s="31">
        <v>105.20861648611915</v>
      </c>
      <c r="E9" s="31">
        <v>107.20376785354406</v>
      </c>
      <c r="F9" s="31">
        <v>109.59997232855227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23574300000</v>
      </c>
      <c r="C5" s="18">
        <v>23098500000</v>
      </c>
      <c r="D5" s="18">
        <v>23051900000</v>
      </c>
      <c r="E5" s="18">
        <v>22148900000</v>
      </c>
      <c r="F5" s="6" t="s">
        <v>91</v>
      </c>
    </row>
    <row r="6" spans="1:6" x14ac:dyDescent="0.25">
      <c r="A6" t="s">
        <v>51</v>
      </c>
      <c r="B6" s="18">
        <v>3796700000</v>
      </c>
      <c r="C6" s="18">
        <v>3761900000</v>
      </c>
      <c r="D6" s="18">
        <v>3606400000</v>
      </c>
      <c r="E6" s="18">
        <v>3000600000</v>
      </c>
      <c r="F6" s="6" t="s">
        <v>92</v>
      </c>
    </row>
    <row r="7" spans="1:6" x14ac:dyDescent="0.25">
      <c r="A7" t="s">
        <v>93</v>
      </c>
      <c r="B7" s="18">
        <v>676900000</v>
      </c>
      <c r="C7" s="18">
        <v>624000000</v>
      </c>
      <c r="D7" s="18">
        <v>622500000</v>
      </c>
      <c r="E7" s="18">
        <v>581100000</v>
      </c>
      <c r="F7" s="6" t="s">
        <v>94</v>
      </c>
    </row>
    <row r="8" spans="1:6" x14ac:dyDescent="0.25">
      <c r="A8" t="s">
        <v>95</v>
      </c>
      <c r="B8" s="18">
        <v>797600000</v>
      </c>
      <c r="C8" s="18">
        <v>1070000000</v>
      </c>
      <c r="D8" s="18">
        <v>888400000</v>
      </c>
      <c r="E8" s="18">
        <v>644500000</v>
      </c>
      <c r="F8" s="6" t="s">
        <v>96</v>
      </c>
    </row>
    <row r="9" spans="1:6" x14ac:dyDescent="0.25">
      <c r="A9" t="s">
        <v>97</v>
      </c>
      <c r="B9" s="18">
        <v>636300000</v>
      </c>
      <c r="C9" s="18">
        <v>503900000</v>
      </c>
      <c r="D9" s="18">
        <v>192900000</v>
      </c>
      <c r="E9" s="18">
        <v>1150300000</v>
      </c>
      <c r="F9" s="6" t="s">
        <v>98</v>
      </c>
    </row>
    <row r="10" spans="1:6" x14ac:dyDescent="0.25">
      <c r="A10" t="s">
        <v>99</v>
      </c>
      <c r="B10" s="18">
        <v>12942600000</v>
      </c>
      <c r="C10" s="18">
        <v>11913300000</v>
      </c>
      <c r="D10" s="18">
        <v>11809700000</v>
      </c>
      <c r="E10" s="18">
        <v>12507900000</v>
      </c>
      <c r="F10" s="6" t="s">
        <v>100</v>
      </c>
    </row>
    <row r="11" spans="1:6" x14ac:dyDescent="0.25">
      <c r="A11" t="s">
        <v>101</v>
      </c>
      <c r="B11" s="18">
        <v>207200000</v>
      </c>
      <c r="C11" s="18">
        <v>210400000</v>
      </c>
      <c r="D11" s="18">
        <v>276800000</v>
      </c>
      <c r="E11" s="18">
        <v>198800000</v>
      </c>
      <c r="F11" s="6" t="s">
        <v>102</v>
      </c>
    </row>
    <row r="12" spans="1:6" x14ac:dyDescent="0.25">
      <c r="A12" t="s">
        <v>34</v>
      </c>
      <c r="B12" s="34">
        <v>250400000</v>
      </c>
      <c r="C12" s="34">
        <v>254100000</v>
      </c>
      <c r="D12" s="34">
        <v>258300000</v>
      </c>
      <c r="E12" s="34">
        <v>261800000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