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<sst xmlns="http://schemas.openxmlformats.org/spreadsheetml/2006/main" count="112" uniqueCount="100">
  <si>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Siemens Aktiengesellschaft (SIE.DE)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</si>
  <si>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</si>
  <si>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</si>
  <si>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</si>
  <si>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</si>
  <si>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</si>
  <si>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</si>
  <si>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</si>
  <si>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</si>
  <si>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</si>
  <si>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</si>
  <si>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</si>
  <si>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</si>
  <si>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</si>
  <si>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</si>
  <si>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</si>
  <si>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</si>
  <si>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</si>
  <si>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</si>
  <si>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</si>
  <si>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</si>
  <si>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</si>
  <si>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</si>
  <si>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</si>
  <si>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</si>
  <si>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</si>
  <si>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</si>
  <si>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</si>
  <si>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</si>
  <si>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</si>
  <si>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2025-09-30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</si>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</sst>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0.031145867010026196</v>
      </c>
    </row>
    <row r="7" spans="1:2" x14ac:dyDescent="0.25">
      <c r="A7" t="s">
        <v>5</v>
      </c>
      <c r="B7" s="6">
        <v>0.1167370798770778</v>
      </c>
    </row>
    <row r="8" spans="1:2" x14ac:dyDescent="0.25">
      <c r="A8" t="s">
        <v>6</v>
      </c>
      <c r="B8" s="6">
        <v>0.23230972712631554</v>
      </c>
    </row>
    <row r="9" spans="1:2" x14ac:dyDescent="0.25">
      <c r="A9" t="s">
        <v>7</v>
      </c>
      <c r="B9" s="6">
        <v>0.045334589321192276</v>
      </c>
    </row>
    <row r="10" spans="1:2" x14ac:dyDescent="0.25">
      <c r="A10" t="s">
        <v>8</v>
      </c>
      <c r="B10" s="6">
        <v>0.029023555973922394</v>
      </c>
    </row>
    <row r="11" spans="1:2" x14ac:dyDescent="0.25">
      <c r="A11" t="s">
        <v>9</v>
      </c>
      <c r="B11" s="6">
        <v>-0.3012734584450402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19.655295292364393</v>
      </c>
    </row>
    <row r="14" spans="1:3" x14ac:dyDescent="0.25">
      <c r="A14" t="s">
        <v>12</v>
      </c>
      <c r="B14" s="6">
        <v>0.08173769701770012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1.18961</v>
      </c>
      <c r="C19" s="8" t="s">
        <v>19</v>
      </c>
    </row>
    <row r="20" spans="1:2" x14ac:dyDescent="0.25">
      <c r="A20" t="s">
        <v>20</v>
      </c>
      <c r="B20" s="10">
        <f>B17+B19*B18</f>
        <v>0.0973766</v>
      </c>
    </row>
    <row r="21" spans="1:3" x14ac:dyDescent="0.25">
      <c r="A21" t="s">
        <v>21</v>
      </c>
      <c r="B21" s="6">
        <v>0.031558489041122254</v>
      </c>
      <c r="C21" s="8" t="s">
        <v>22</v>
      </c>
    </row>
    <row r="22" spans="1:2" x14ac:dyDescent="0.25">
      <c r="A22" t="s">
        <v>23</v>
      </c>
      <c r="B22" s="11">
        <v>205989740544</v>
      </c>
    </row>
    <row r="23" spans="1:2" x14ac:dyDescent="0.25">
      <c r="A23" t="s">
        <v>24</v>
      </c>
      <c r="B23" s="11">
        <v>56015000000</v>
      </c>
    </row>
    <row r="24" spans="1:2" x14ac:dyDescent="0.25">
      <c r="A24" t="s">
        <v>25</v>
      </c>
      <c r="B24" s="10">
        <f>B22/(B22+B23)</f>
        <v>0.7862061583935613</v>
      </c>
    </row>
    <row r="25" spans="1:2" x14ac:dyDescent="0.25">
      <c r="A25" t="s">
        <v>26</v>
      </c>
      <c r="B25" s="10">
        <f>1-B24</f>
        <v>0.21379384160643866</v>
      </c>
    </row>
    <row r="26" spans="1:2" x14ac:dyDescent="0.25">
      <c r="A26" t="s">
        <v>27</v>
      </c>
      <c r="B26" s="12">
        <f>B24*B20+B25*B21*(1-B8)</f>
        <v>0.08173769701770012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78914000000</v>
      </c>
      <c r="C29" s="8" t="s">
        <v>30</v>
      </c>
    </row>
    <row r="30" spans="1:2" x14ac:dyDescent="0.25">
      <c r="A30" t="s">
        <v>31</v>
      </c>
      <c r="B30" s="11">
        <v>39328000000</v>
      </c>
    </row>
    <row r="31" spans="1:2" x14ac:dyDescent="0.25">
      <c r="A31" t="s">
        <v>32</v>
      </c>
      <c r="B31" s="13">
        <v>793781000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0.031145867010026196</v>
      </c>
      <c r="C5" s="10">
        <f>Assumptions!B6</f>
        <v>0.031145867010026196</v>
      </c>
      <c r="D5" s="10">
        <f>Assumptions!B6</f>
        <v>0.031145867010026196</v>
      </c>
      <c r="E5" s="10">
        <f>Assumptions!B6</f>
        <v>0.031145867010026196</v>
      </c>
      <c r="F5" s="10">
        <f>Assumptions!B6</f>
        <v>0.031145867010026196</v>
      </c>
    </row>
    <row r="6" spans="1:6" x14ac:dyDescent="0.25">
      <c r="A6" t="s">
        <v>43</v>
      </c>
      <c r="B6" s="18">
        <f>Assumptions!B29*(1+B5)</f>
        <v>81371844949.2292</v>
      </c>
      <c r="C6" s="18">
        <f>B6*(1+C5)</f>
        <v>83906241610.37837</v>
      </c>
      <c r="D6" s="18">
        <f>C6*(1+D5)</f>
        <v>86519574252.88634</v>
      </c>
      <c r="E6" s="18">
        <f>D6*(1+E5)</f>
        <v>89214301406.33083</v>
      </c>
      <c r="F6" s="18">
        <f>E6*(1+F5)</f>
        <v>91992958173.3248</v>
      </c>
    </row>
    <row r="7" spans="1:6" x14ac:dyDescent="0.25">
      <c r="A7" t="s">
        <v>5</v>
      </c>
      <c r="B7" s="10">
        <f>Assumptions!B7</f>
        <v>0.1167370798770778</v>
      </c>
      <c r="C7" s="10">
        <f>Assumptions!B7</f>
        <v>0.1167370798770778</v>
      </c>
      <c r="D7" s="10">
        <f>Assumptions!B7</f>
        <v>0.1167370798770778</v>
      </c>
      <c r="E7" s="10">
        <f>Assumptions!B7</f>
        <v>0.1167370798770778</v>
      </c>
      <c r="F7" s="10">
        <f>Assumptions!B7</f>
        <v>0.1167370798770778</v>
      </c>
    </row>
    <row r="8" spans="1:6" x14ac:dyDescent="0.25">
      <c r="A8" t="s">
        <v>44</v>
      </c>
      <c r="B8" s="18">
        <f>B6*B7</f>
        <v>9499111563.583359</v>
      </c>
      <c r="C8" s="18">
        <f>C6*C7</f>
        <v>9794969629.05613</v>
      </c>
      <c r="D8" s="18">
        <f>D6*D7</f>
        <v>10100042450.489956</v>
      </c>
      <c r="E8" s="18">
        <f>E6*E7</f>
        <v>10414617029.448536</v>
      </c>
      <c r="F8" s="18">
        <f>F6*F7</f>
        <v>10738989306.408094</v>
      </c>
    </row>
    <row r="9" spans="1:6" x14ac:dyDescent="0.25">
      <c r="A9" t="s">
        <v>45</v>
      </c>
      <c r="B9" s="18">
        <f>B8*(1-Assumptions!B8)</f>
        <v>7292375548.304881</v>
      </c>
      <c r="C9" s="18">
        <f>C8*(1-Assumptions!B8)</f>
        <v>7519502907.319552</v>
      </c>
      <c r="D9" s="18">
        <f>D8*(1-Assumptions!B8)</f>
        <v>7753704344.852431</v>
      </c>
      <c r="E9" s="18">
        <f>E8*(1-Assumptions!B8)</f>
        <v>7995200189.212268</v>
      </c>
      <c r="F9" s="18">
        <f>F8*(1-Assumptions!B8)</f>
        <v>8244217631.02401</v>
      </c>
    </row>
    <row r="10" spans="1:6" x14ac:dyDescent="0.25">
      <c r="A10" t="s">
        <v>46</v>
      </c>
      <c r="B10" s="18">
        <f>B6*Assumptions!B9</f>
        <v>3688959173.08104</v>
      </c>
      <c r="C10" s="18">
        <f>C6*Assumptions!B9</f>
        <v>3803855004.891238</v>
      </c>
      <c r="D10" s="18">
        <f>D6*Assumptions!B9</f>
        <v>3922329366.999003</v>
      </c>
      <c r="E10" s="18">
        <f>E6*Assumptions!B9</f>
        <v>4044493715.8330746</v>
      </c>
      <c r="F10" s="18">
        <f>F6*Assumptions!B9</f>
        <v>4170462979.229298</v>
      </c>
    </row>
    <row r="11" spans="1:6" x14ac:dyDescent="0.25">
      <c r="A11" t="s">
        <v>47</v>
      </c>
      <c r="B11" s="18">
        <f>-B6*Assumptions!B10</f>
        <v>-2361700296.585288</v>
      </c>
      <c r="C11" s="18">
        <f>-C6*Assumptions!B10</f>
        <v>-2435257499.940273</v>
      </c>
      <c r="D11" s="18">
        <f>-D6*Assumptions!B10</f>
        <v>-2511105706.1685815</v>
      </c>
      <c r="E11" s="18">
        <f>-E6*Assumptions!B10</f>
        <v>-2589316270.541026</v>
      </c>
      <c r="F11" s="18">
        <f>-F6*Assumptions!B10</f>
        <v>-2669962770.750194</v>
      </c>
    </row>
    <row r="12" spans="1:6" x14ac:dyDescent="0.25">
      <c r="A12" t="s">
        <v>48</v>
      </c>
      <c r="B12" s="18">
        <f>-(B6-Assumptions!B29)*Assumptions!B11</f>
        <v>740483448.175956</v>
      </c>
      <c r="C12" s="18">
        <f>-(C6-B6)*Assumptions!B11</f>
        <v>763546447.1759732</v>
      </c>
      <c r="D12" s="18">
        <f>-(D6-C6)*Assumptions!B11</f>
        <v>787327763.2756906</v>
      </c>
      <c r="E12" s="18">
        <f>-(E6-D6)*Assumptions!B11</f>
        <v>811849769.0839796</v>
      </c>
      <c r="F12" s="18">
        <f>-(F6-E6)*Assumptions!B11</f>
        <v>837135534.0239885</v>
      </c>
    </row>
    <row r="13" spans="1:6" x14ac:dyDescent="0.25">
      <c r="A13" s="19" t="s">
        <v>49</v>
      </c>
      <c r="B13" s="20">
        <f>B9+B10+B11+B12</f>
        <v>9360117872.97659</v>
      </c>
      <c r="C13" s="20">
        <f>C9+C10+C11+C12</f>
        <v>9651646859.446491</v>
      </c>
      <c r="D13" s="20">
        <f>D9+D10+D11+D12</f>
        <v>9952255768.958544</v>
      </c>
      <c r="E13" s="20">
        <f>E9+E10+E11+E12</f>
        <v>10262227403.588295</v>
      </c>
      <c r="F13" s="20">
        <f>F9+F10+F11+F12</f>
        <v>10581853373.527102</v>
      </c>
    </row>
    <row r="14" spans="1:6" x14ac:dyDescent="0.25">
      <c r="A14" t="s">
        <v>50</v>
      </c>
      <c r="B14" s="21">
        <f>1/(1+Assumptions!$B$26)^(1-0.5*Assumptions!$B$32)</f>
        <v>0.9614772613082202</v>
      </c>
      <c r="C14" s="21">
        <f>1/(1+Assumptions!$B$26)^(2-0.5*Assumptions!$B$32)</f>
        <v>0.8888266203155973</v>
      </c>
      <c r="D14" s="21">
        <f>1/(1+Assumptions!$B$26)^(3-0.5*Assumptions!$B$32)</f>
        <v>0.8216655689877966</v>
      </c>
      <c r="E14" s="21">
        <f>1/(1+Assumptions!$B$26)^(4-0.5*Assumptions!$B$32)</f>
        <v>0.7595793058271796</v>
      </c>
      <c r="F14" s="21">
        <f>1/(1+Assumptions!$B$26)^(5-0.5*Assumptions!$B$32)</f>
        <v>0.7021843723495113</v>
      </c>
    </row>
    <row r="15" spans="1:6" x14ac:dyDescent="0.25">
      <c r="A15" s="19" t="s">
        <v>51</v>
      </c>
      <c r="B15" s="20">
        <f>B13*B14</f>
        <v>8999540498.031654</v>
      </c>
      <c r="C15" s="20">
        <f>C13*C14</f>
        <v>8578640658.561474</v>
      </c>
      <c r="D15" s="20">
        <f>D13*D14</f>
        <v>8177425899.113403</v>
      </c>
      <c r="E15" s="20">
        <f>E13*E14</f>
        <v>7794975567.458257</v>
      </c>
      <c r="F15" s="20">
        <f>F13*F14</f>
        <v>7430412069.384686</v>
      </c>
    </row>
    <row r="17" spans="1:2" x14ac:dyDescent="0.25">
      <c r="A17" s="22" t="s">
        <v>52</v>
      </c>
      <c r="B17" s="23">
        <f>SUM(B15:F15)</f>
        <v>40980994692.54948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10581853373.527102</v>
      </c>
    </row>
    <row r="5" spans="1:2" x14ac:dyDescent="0.25">
      <c r="A5" t="s">
        <v>56</v>
      </c>
      <c r="B5" s="18">
        <f>IF(Assumptions!$B$33=0,B4,B4-Forecast!F11-Forecast!F10-Forecast!F12)</f>
        <v>10572349631.165321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0.30585642747661834</v>
      </c>
    </row>
    <row r="7" spans="1:2" x14ac:dyDescent="0.25">
      <c r="A7" t="s">
        <v>58</v>
      </c>
      <c r="B7" s="18">
        <f>-MAX(Forecast!F9,0)*B6</f>
        <v>-3233621088.2219687</v>
      </c>
    </row>
    <row r="8" spans="1:2" x14ac:dyDescent="0.25">
      <c r="A8" t="s">
        <v>59</v>
      </c>
      <c r="B8" s="18">
        <f>IF(OR(Assumptions!$B$33=0,Assumptions!B12&lt;=0),B5,MAX(B5+B7,0))</f>
        <v>7338728542.943353</v>
      </c>
    </row>
    <row r="9" spans="1:2" x14ac:dyDescent="0.25">
      <c r="A9" t="s">
        <v>60</v>
      </c>
      <c r="B9" s="18">
        <f>B8*(1+Assumptions!B12)/(Assumptions!B26-Assumptions!B12)</f>
        <v>132578464617.10072</v>
      </c>
    </row>
    <row r="10" spans="1:2" x14ac:dyDescent="0.25">
      <c r="A10" t="s">
        <v>61</v>
      </c>
      <c r="B10" s="18">
        <f>B9/(1+Assumptions!B26)^(5-0.5*Assumptions!B32)</f>
        <v>93094525964.22076</v>
      </c>
    </row>
    <row r="11" spans="1:2" x14ac:dyDescent="0.25">
      <c r="A11" t="s">
        <v>62</v>
      </c>
      <c r="B11" s="18">
        <f>Forecast!B17+B10</f>
        <v>134075520656.77023</v>
      </c>
    </row>
    <row r="12" spans="1:2" x14ac:dyDescent="0.25">
      <c r="A12" t="s">
        <v>63</v>
      </c>
      <c r="B12" s="18">
        <f>-Assumptions!B30</f>
        <v>-39328000000</v>
      </c>
    </row>
    <row r="13" spans="1:2" x14ac:dyDescent="0.25">
      <c r="A13" t="s">
        <v>64</v>
      </c>
      <c r="B13" s="18">
        <f>B11+B12</f>
        <v>94747520656.77023</v>
      </c>
    </row>
    <row r="14" spans="1:2" x14ac:dyDescent="0.25">
      <c r="A14" s="19" t="s">
        <v>65</v>
      </c>
      <c r="B14" s="24">
        <f>B13/Assumptions!B31</f>
        <v>119.36229344966713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14909452285.637392</v>
      </c>
    </row>
    <row r="18" spans="1:2" x14ac:dyDescent="0.25">
      <c r="A18" t="s">
        <v>60</v>
      </c>
      <c r="B18" s="18">
        <f>B17*Assumptions!B13</f>
        <v>293049687321.6202</v>
      </c>
    </row>
    <row r="19" spans="1:2" x14ac:dyDescent="0.25">
      <c r="A19" t="s">
        <v>61</v>
      </c>
      <c r="B19" s="18">
        <f>B18/(1+Assumptions!B26)^(5-0.5*Assumptions!B32)</f>
        <v>205774910759.1524</v>
      </c>
    </row>
    <row r="20" spans="1:2" x14ac:dyDescent="0.25">
      <c r="A20" t="s">
        <v>62</v>
      </c>
      <c r="B20" s="18">
        <f>Forecast!B17+B19</f>
        <v>246755905451.70187</v>
      </c>
    </row>
    <row r="21" spans="1:2" x14ac:dyDescent="0.25">
      <c r="A21" t="s">
        <v>63</v>
      </c>
      <c r="B21" s="18">
        <f>-Assumptions!B30</f>
        <v>-39328000000</v>
      </c>
    </row>
    <row r="22" spans="1:2" x14ac:dyDescent="0.25">
      <c r="A22" t="s">
        <v>64</v>
      </c>
      <c r="B22" s="18">
        <f>B20+B21</f>
        <v>207427905451.70187</v>
      </c>
    </row>
    <row r="23" spans="1:2" x14ac:dyDescent="0.25">
      <c r="A23" s="19" t="s">
        <v>65</v>
      </c>
      <c r="B23" s="25">
        <f>B22/Assumptions!B31</f>
        <v>261.31628931871876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264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119.36229344966713</v>
      </c>
    </row>
    <row r="29" spans="1:2" x14ac:dyDescent="0.25">
      <c r="A29" s="19" t="s">
        <v>73</v>
      </c>
      <c r="B29" s="12">
        <f>B28/B26-1</f>
        <v>-0.5478701005694426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0.061738</v>
      </c>
      <c r="B5" s="31">
        <v>176.83499512405277</v>
      </c>
      <c r="C5" s="31">
        <v>180.22975881346835</v>
      </c>
      <c r="D5" s="31">
        <v>184.34580427440474</v>
      </c>
      <c r="E5" s="31">
        <v>189.524023389552</v>
      </c>
      <c r="F5" s="31">
        <v>196.36029486386772</v>
      </c>
    </row>
    <row r="6" spans="1:6" x14ac:dyDescent="0.25">
      <c r="A6" s="30">
        <v>0.071738</v>
      </c>
      <c r="B6" s="31">
        <v>141.224032080452</v>
      </c>
      <c r="C6" s="31">
        <v>141.90369366610253</v>
      </c>
      <c r="D6" s="31">
        <v>142.58335525175295</v>
      </c>
      <c r="E6" s="31">
        <v>143.2630168374034</v>
      </c>
      <c r="F6" s="31">
        <v>143.94267842305385</v>
      </c>
    </row>
    <row r="7" spans="1:6" x14ac:dyDescent="0.25">
      <c r="A7" s="30">
        <v>0.081738</v>
      </c>
      <c r="B7" s="31">
        <v>118.21748804696362</v>
      </c>
      <c r="C7" s="31">
        <v>118.78958209201261</v>
      </c>
      <c r="D7" s="32">
        <v>119.36167613706155</v>
      </c>
      <c r="E7" s="31">
        <v>119.93377018211048</v>
      </c>
      <c r="F7" s="31">
        <v>120.50586422715946</v>
      </c>
    </row>
    <row r="8" spans="1:6" x14ac:dyDescent="0.25">
      <c r="A8" s="30">
        <v>0.091738</v>
      </c>
      <c r="B8" s="31">
        <v>100.23536298763877</v>
      </c>
      <c r="C8" s="31">
        <v>100.72441903402347</v>
      </c>
      <c r="D8" s="31">
        <v>101.21347508040814</v>
      </c>
      <c r="E8" s="31">
        <v>101.70253112679288</v>
      </c>
      <c r="F8" s="31">
        <v>102.19158717317755</v>
      </c>
    </row>
    <row r="9" spans="1:6" x14ac:dyDescent="0.25">
      <c r="A9" s="30">
        <v>0.101738</v>
      </c>
      <c r="B9" s="31">
        <v>85.79562293831728</v>
      </c>
      <c r="C9" s="31">
        <v>86.21888090948923</v>
      </c>
      <c r="D9" s="31">
        <v>86.6421388806611</v>
      </c>
      <c r="E9" s="31">
        <v>87.06539685183304</v>
      </c>
      <c r="F9" s="31">
        <v>87.48865482300495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78914000000</v>
      </c>
      <c r="C5" s="18">
        <v>75930000000</v>
      </c>
      <c r="D5" s="18">
        <v>74882000000</v>
      </c>
      <c r="E5" s="18">
        <v>71977000000</v>
      </c>
      <c r="F5" s="8" t="s">
        <v>84</v>
      </c>
    </row>
    <row r="6" spans="1:6" x14ac:dyDescent="0.25">
      <c r="A6" t="s">
        <v>44</v>
      </c>
      <c r="B6" s="18">
        <v>9092000000</v>
      </c>
      <c r="C6" s="18">
        <v>9498000000</v>
      </c>
      <c r="D6" s="18">
        <v>9402000000</v>
      </c>
      <c r="E6" s="18">
        <v>7276000000</v>
      </c>
      <c r="F6" s="8" t="s">
        <v>85</v>
      </c>
    </row>
    <row r="7" spans="1:6" x14ac:dyDescent="0.25">
      <c r="A7" t="s">
        <v>86</v>
      </c>
      <c r="B7" s="18">
        <v>3389000000</v>
      </c>
      <c r="C7" s="18">
        <v>3158000000</v>
      </c>
      <c r="D7" s="18">
        <v>3544000000</v>
      </c>
      <c r="E7" s="18">
        <v>3561000000</v>
      </c>
      <c r="F7" s="8" t="s">
        <v>87</v>
      </c>
    </row>
    <row r="8" spans="1:6" x14ac:dyDescent="0.25">
      <c r="A8" t="s">
        <v>88</v>
      </c>
      <c r="B8" s="18">
        <v>2445000000</v>
      </c>
      <c r="C8" s="18">
        <v>2088000000</v>
      </c>
      <c r="D8" s="18">
        <v>2146000000</v>
      </c>
      <c r="E8" s="18">
        <v>2084000000</v>
      </c>
      <c r="F8" s="8" t="s">
        <v>89</v>
      </c>
    </row>
    <row r="9" spans="1:6" x14ac:dyDescent="0.25">
      <c r="A9" t="s">
        <v>90</v>
      </c>
      <c r="B9" s="18">
        <v>-899000000</v>
      </c>
      <c r="C9" s="18">
        <v>-68000000</v>
      </c>
      <c r="D9" s="18">
        <v>-1040000000</v>
      </c>
      <c r="E9" s="18">
        <v>2046000000</v>
      </c>
      <c r="F9" s="8" t="s">
        <v>91</v>
      </c>
    </row>
    <row r="10" spans="1:6" x14ac:dyDescent="0.25">
      <c r="A10" t="s">
        <v>92</v>
      </c>
      <c r="B10" s="18">
        <v>56015000000</v>
      </c>
      <c r="C10" s="18">
        <v>47919000000</v>
      </c>
      <c r="D10" s="18">
        <v>46596000000</v>
      </c>
      <c r="E10" s="18">
        <v>50636000000</v>
      </c>
      <c r="F10" s="8" t="s">
        <v>93</v>
      </c>
    </row>
    <row r="11" spans="1:6" x14ac:dyDescent="0.25">
      <c r="A11" t="s">
        <v>94</v>
      </c>
      <c r="B11" s="18">
        <v>16687000000</v>
      </c>
      <c r="C11" s="18">
        <v>11458000000</v>
      </c>
      <c r="D11" s="18">
        <v>12528000000</v>
      </c>
      <c r="E11" s="18">
        <v>12989000000</v>
      </c>
      <c r="F11" s="8" t="s">
        <v>95</v>
      </c>
    </row>
    <row r="12" spans="1:6" x14ac:dyDescent="0.25">
      <c r="A12" t="s">
        <v>32</v>
      </c>
      <c r="B12" s="34">
        <v>793781000</v>
      </c>
      <c r="C12" s="34">
        <v>798915000</v>
      </c>
      <c r="D12" s="34">
        <v>801342000</v>
      </c>
      <c r="E12" s="34">
        <v>809680000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2026-09-19T00:09:34Z</dcterms:modified>
</cp:coreProperties>
</file>