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<sst xmlns="http://schemas.openxmlformats.org/spreadsheetml/2006/main" count="112" uniqueCount="100">
  <si>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Sika AG (SIKA.SW)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</si>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</sst>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0.02205156732235425</v>
      </c>
    </row>
    <row r="7" spans="1:2" x14ac:dyDescent="0.25">
      <c r="A7" t="s">
        <v>5</v>
      </c>
      <c r="B7" s="6">
        <v>0.1427467224779133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0.044084648104699954</v>
      </c>
    </row>
    <row r="10" spans="1:2" x14ac:dyDescent="0.25">
      <c r="A10" t="s">
        <v>8</v>
      </c>
      <c r="B10" s="6">
        <v>0.02857287580623702</v>
      </c>
    </row>
    <row r="11" spans="1:2" x14ac:dyDescent="0.25">
      <c r="A11" t="s">
        <v>9</v>
      </c>
      <c r="B11" s="6">
        <v>0.08828764684941261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16.458826839734588</v>
      </c>
    </row>
    <row r="14" spans="1:3" x14ac:dyDescent="0.25">
      <c r="A14" t="s">
        <v>12</v>
      </c>
      <c r="B14" s="6">
        <v>0.11740350283971435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1.13333</v>
      </c>
      <c r="C19" s="8" t="s">
        <v>19</v>
      </c>
    </row>
    <row r="20" spans="1:2" x14ac:dyDescent="0.25">
      <c r="A20" t="s">
        <v>20</v>
      </c>
      <c r="B20" s="10">
        <f>B17+B19*B18</f>
        <v>0.06733315</v>
      </c>
    </row>
    <row r="21" spans="1:3" x14ac:dyDescent="0.25">
      <c r="A21" t="s">
        <v>21</v>
      </c>
      <c r="B21" s="6">
        <v>0.02809183664392396</v>
      </c>
      <c r="C21" s="8" t="s">
        <v>22</v>
      </c>
    </row>
    <row r="22" spans="1:2" x14ac:dyDescent="0.25">
      <c r="A22" t="s">
        <v>23</v>
      </c>
      <c r="B22" s="11">
        <v>29272139776</v>
      </c>
    </row>
    <row r="23" spans="1:2" x14ac:dyDescent="0.25">
      <c r="A23" t="s">
        <v>24</v>
      </c>
      <c r="B23" s="11">
        <v>5518000000</v>
      </c>
    </row>
    <row r="24" spans="1:2" x14ac:dyDescent="0.25">
      <c r="A24" t="s">
        <v>25</v>
      </c>
      <c r="B24" s="10">
        <f>B22/(B22+B23)</f>
        <v>0.8413918416100589</v>
      </c>
    </row>
    <row r="25" spans="1:2" x14ac:dyDescent="0.25">
      <c r="A25" t="s">
        <v>26</v>
      </c>
      <c r="B25" s="10">
        <f>1-B24</f>
        <v>0.15860815838994113</v>
      </c>
    </row>
    <row r="26" spans="1:2" x14ac:dyDescent="0.25">
      <c r="A26" t="s">
        <v>27</v>
      </c>
      <c r="B26" s="12">
        <f>B24*B20+B25*B21*(1-B8)</f>
        <v>0.060440818384407596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11201300000</v>
      </c>
      <c r="C29" s="8" t="s">
        <v>30</v>
      </c>
    </row>
    <row r="30" spans="1:2" x14ac:dyDescent="0.25">
      <c r="A30" t="s">
        <v>31</v>
      </c>
      <c r="B30" s="11">
        <v>4710400000</v>
      </c>
    </row>
    <row r="31" spans="1:2" x14ac:dyDescent="0.25">
      <c r="A31" t="s">
        <v>32</v>
      </c>
      <c r="B31" s="13">
        <v>160542108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0.02205156732235425</v>
      </c>
      <c r="C5" s="10">
        <f>Assumptions!B6</f>
        <v>0.02205156732235425</v>
      </c>
      <c r="D5" s="10">
        <f>Assumptions!B6</f>
        <v>0.02205156732235425</v>
      </c>
      <c r="E5" s="10">
        <f>Assumptions!B6</f>
        <v>0.02205156732235425</v>
      </c>
      <c r="F5" s="10">
        <f>Assumptions!B6</f>
        <v>0.02205156732235425</v>
      </c>
    </row>
    <row r="6" spans="1:6" x14ac:dyDescent="0.25">
      <c r="A6" t="s">
        <v>43</v>
      </c>
      <c r="B6" s="18">
        <f>Assumptions!B29*(1+B5)</f>
        <v>11448306221.047886</v>
      </c>
      <c r="C6" s="18">
        <f>B6*(1+C5)</f>
        <v>11700759316.40825</v>
      </c>
      <c r="D6" s="18">
        <f>C6*(1+D5)</f>
        <v>11958779398.196692</v>
      </c>
      <c r="E6" s="18">
        <f>D6*(1+E5)</f>
        <v>12222489227.189209</v>
      </c>
      <c r="F6" s="18">
        <f>E6*(1+F5)</f>
        <v>12492014271.22932</v>
      </c>
    </row>
    <row r="7" spans="1:6" x14ac:dyDescent="0.25">
      <c r="A7" t="s">
        <v>5</v>
      </c>
      <c r="B7" s="10">
        <f>Assumptions!B7</f>
        <v>0.1427467224779133</v>
      </c>
      <c r="C7" s="10">
        <f>Assumptions!B7</f>
        <v>0.1427467224779133</v>
      </c>
      <c r="D7" s="10">
        <f>Assumptions!B7</f>
        <v>0.1427467224779133</v>
      </c>
      <c r="E7" s="10">
        <f>Assumptions!B7</f>
        <v>0.1427467224779133</v>
      </c>
      <c r="F7" s="10">
        <f>Assumptions!B7</f>
        <v>0.1427467224779133</v>
      </c>
    </row>
    <row r="8" spans="1:6" x14ac:dyDescent="0.25">
      <c r="A8" t="s">
        <v>44</v>
      </c>
      <c r="B8" s="18">
        <f>B6*B7</f>
        <v>1634208190.978091</v>
      </c>
      <c r="C8" s="18">
        <f>C6*C7</f>
        <v>1670245042.9201872</v>
      </c>
      <c r="D8" s="18">
        <f>D6*D7</f>
        <v>1707076563.9289703</v>
      </c>
      <c r="E8" s="18">
        <f>E6*E7</f>
        <v>1744720277.7028632</v>
      </c>
      <c r="F8" s="18">
        <f>F6*F7</f>
        <v>1783194094.3653042</v>
      </c>
    </row>
    <row r="9" spans="1:6" x14ac:dyDescent="0.25">
      <c r="A9" t="s">
        <v>45</v>
      </c>
      <c r="B9" s="18">
        <f>B8*(1-Assumptions!B8)</f>
        <v>1389076962.3313773</v>
      </c>
      <c r="C9" s="18">
        <f>C8*(1-Assumptions!B8)</f>
        <v>1419708286.4821591</v>
      </c>
      <c r="D9" s="18">
        <f>D8*(1-Assumptions!B8)</f>
        <v>1451015079.3396246</v>
      </c>
      <c r="E9" s="18">
        <f>E8*(1-Assumptions!B8)</f>
        <v>1483012236.0474336</v>
      </c>
      <c r="F9" s="18">
        <f>F8*(1-Assumptions!B8)</f>
        <v>1515714980.2105086</v>
      </c>
    </row>
    <row r="10" spans="1:6" x14ac:dyDescent="0.25">
      <c r="A10" t="s">
        <v>46</v>
      </c>
      <c r="B10" s="18">
        <f>B6*Assumptions!B9</f>
        <v>504694551.1497434</v>
      </c>
      <c r="C10" s="18">
        <f>C6*Assumptions!B9</f>
        <v>515823857.02164733</v>
      </c>
      <c r="D10" s="18">
        <f>D6*Assumptions!B9</f>
        <v>527198581.53123665</v>
      </c>
      <c r="E10" s="18">
        <f>E6*Assumptions!B9</f>
        <v>538824136.5441223</v>
      </c>
      <c r="F10" s="18">
        <f>F6*Assumptions!B9</f>
        <v>550706053.2660345</v>
      </c>
    </row>
    <row r="11" spans="1:6" x14ac:dyDescent="0.25">
      <c r="A11" t="s">
        <v>47</v>
      </c>
      <c r="B11" s="18">
        <f>-B6*Assumptions!B10</f>
        <v>-327111031.8457719</v>
      </c>
      <c r="C11" s="18">
        <f>-C6*Assumptions!B10</f>
        <v>-334324342.7864037</v>
      </c>
      <c r="D11" s="18">
        <f>-D6*Assumptions!B10</f>
        <v>-341696718.53885996</v>
      </c>
      <c r="E11" s="18">
        <f>-E6*Assumptions!B10</f>
        <v>-349231666.7315472</v>
      </c>
      <c r="F11" s="18">
        <f>-F6*Assumptions!B10</f>
        <v>-356932772.3415758</v>
      </c>
    </row>
    <row r="12" spans="1:6" x14ac:dyDescent="0.25">
      <c r="A12" t="s">
        <v>48</v>
      </c>
      <c r="B12" s="18">
        <f>-(B6-Assumptions!B29)*Assumptions!B11</f>
        <v>-21807598.013483696</v>
      </c>
      <c r="C12" s="18">
        <f>-(C6-B6)*Assumptions!B11</f>
        <v>-22288489.72921698</v>
      </c>
      <c r="D12" s="18">
        <f>-(D6-C6)*Assumptions!B11</f>
        <v>-22779985.86099441</v>
      </c>
      <c r="E12" s="18">
        <f>-(E6-D6)*Assumptions!B11</f>
        <v>-23282320.252810374</v>
      </c>
      <c r="F12" s="18">
        <f>-(F6-E6)*Assumptions!B11</f>
        <v>-23795731.90528575</v>
      </c>
    </row>
    <row r="13" spans="1:6" x14ac:dyDescent="0.25">
      <c r="A13" s="19" t="s">
        <v>49</v>
      </c>
      <c r="B13" s="20">
        <f>B9+B10+B11+B12</f>
        <v>1544852883.621865</v>
      </c>
      <c r="C13" s="20">
        <f>C9+C10+C11+C12</f>
        <v>1578919310.988186</v>
      </c>
      <c r="D13" s="20">
        <f>D9+D10+D11+D12</f>
        <v>1613736956.4710069</v>
      </c>
      <c r="E13" s="20">
        <f>E9+E10+E11+E12</f>
        <v>1649322385.6071985</v>
      </c>
      <c r="F13" s="20">
        <f>F9+F10+F11+F12</f>
        <v>1685692529.2296813</v>
      </c>
    </row>
    <row r="14" spans="1:6" x14ac:dyDescent="0.25">
      <c r="A14" t="s">
        <v>50</v>
      </c>
      <c r="B14" s="21">
        <f>1/(1+Assumptions!$B$26)^(1-0.5*Assumptions!$B$32)</f>
        <v>0.9710839627498681</v>
      </c>
      <c r="C14" s="21">
        <f>1/(1+Assumptions!$B$26)^(2-0.5*Assumptions!$B$32)</f>
        <v>0.9157361221056394</v>
      </c>
      <c r="D14" s="21">
        <f>1/(1+Assumptions!$B$26)^(3-0.5*Assumptions!$B$32)</f>
        <v>0.8635428835159068</v>
      </c>
      <c r="E14" s="21">
        <f>1/(1+Assumptions!$B$26)^(4-0.5*Assumptions!$B$32)</f>
        <v>0.8143244474797973</v>
      </c>
      <c r="F14" s="21">
        <f>1/(1+Assumptions!$B$26)^(5-0.5*Assumptions!$B$32)</f>
        <v>0.7679112623375144</v>
      </c>
    </row>
    <row r="15" spans="1:6" x14ac:dyDescent="0.25">
      <c r="A15" s="19" t="s">
        <v>51</v>
      </c>
      <c r="B15" s="20">
        <f>B13*B14</f>
        <v>1500181860.0930815</v>
      </c>
      <c r="C15" s="20">
        <f>C13*C14</f>
        <v>1445873446.9620295</v>
      </c>
      <c r="D15" s="20">
        <f>D13*D14</f>
        <v>1393531064.6271567</v>
      </c>
      <c r="E15" s="20">
        <f>E13*E14</f>
        <v>1343083540.375643</v>
      </c>
      <c r="F15" s="20">
        <f>F13*F14</f>
        <v>1294462278.0336819</v>
      </c>
    </row>
    <row r="17" spans="1:2" x14ac:dyDescent="0.25">
      <c r="A17" s="22" t="s">
        <v>52</v>
      </c>
      <c r="B17" s="23">
        <f>SUM(B15:F15)</f>
        <v>6977132190.091593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1685692529.2296813</v>
      </c>
    </row>
    <row r="5" spans="1:2" x14ac:dyDescent="0.25">
      <c r="A5" t="s">
        <v>56</v>
      </c>
      <c r="B5" s="18">
        <f>IF(Assumptions!$B$33=0,B4,B4-Forecast!F11-Forecast!F10-Forecast!F12)</f>
        <v>1611380292.6677873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0.2129408356250781</v>
      </c>
    </row>
    <row r="7" spans="1:2" x14ac:dyDescent="0.25">
      <c r="A7" t="s">
        <v>58</v>
      </c>
      <c r="B7" s="18">
        <f>-MAX(Forecast!F9,0)*B6</f>
        <v>-343128666.03046155</v>
      </c>
    </row>
    <row r="8" spans="1:2" x14ac:dyDescent="0.25">
      <c r="A8" t="s">
        <v>59</v>
      </c>
      <c r="B8" s="18">
        <f>IF(OR(Assumptions!$B$33=0,Assumptions!B12&lt;=0),B5,MAX(B5+B7,0))</f>
        <v>1268251626.6373258</v>
      </c>
    </row>
    <row r="9" spans="1:2" x14ac:dyDescent="0.25">
      <c r="A9" t="s">
        <v>60</v>
      </c>
      <c r="B9" s="18">
        <f>B8*(1+Assumptions!B12)/(Assumptions!B26-Assumptions!B12)</f>
        <v>36679681129.349525</v>
      </c>
    </row>
    <row r="10" spans="1:2" x14ac:dyDescent="0.25">
      <c r="A10" t="s">
        <v>61</v>
      </c>
      <c r="B10" s="18">
        <f>B9/(1+Assumptions!B26)^(5-0.5*Assumptions!B32)</f>
        <v>28166740238.1763</v>
      </c>
    </row>
    <row r="11" spans="1:2" x14ac:dyDescent="0.25">
      <c r="A11" t="s">
        <v>62</v>
      </c>
      <c r="B11" s="18">
        <f>Forecast!B17+B10</f>
        <v>35143872428.26789</v>
      </c>
    </row>
    <row r="12" spans="1:2" x14ac:dyDescent="0.25">
      <c r="A12" t="s">
        <v>63</v>
      </c>
      <c r="B12" s="18">
        <f>-Assumptions!B30</f>
        <v>-4710400000</v>
      </c>
    </row>
    <row r="13" spans="1:2" x14ac:dyDescent="0.25">
      <c r="A13" t="s">
        <v>64</v>
      </c>
      <c r="B13" s="18">
        <f>B11+B12</f>
        <v>30433472428.26789</v>
      </c>
    </row>
    <row r="14" spans="1:2" x14ac:dyDescent="0.25">
      <c r="A14" s="19" t="s">
        <v>65</v>
      </c>
      <c r="B14" s="24">
        <f>B13/Assumptions!B31</f>
        <v>189.56691678838484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2333900147.6313386</v>
      </c>
    </row>
    <row r="18" spans="1:2" x14ac:dyDescent="0.25">
      <c r="A18" t="s">
        <v>60</v>
      </c>
      <c r="B18" s="18">
        <f>B17*Assumptions!B13</f>
        <v>38413258391.09519</v>
      </c>
    </row>
    <row r="19" spans="1:2" x14ac:dyDescent="0.25">
      <c r="A19" t="s">
        <v>61</v>
      </c>
      <c r="B19" s="18">
        <f>B18/(1+Assumptions!B26)^(5-0.5*Assumptions!B32)</f>
        <v>29497973741.603027</v>
      </c>
    </row>
    <row r="20" spans="1:2" x14ac:dyDescent="0.25">
      <c r="A20" t="s">
        <v>62</v>
      </c>
      <c r="B20" s="18">
        <f>Forecast!B17+B19</f>
        <v>36475105931.69462</v>
      </c>
    </row>
    <row r="21" spans="1:2" x14ac:dyDescent="0.25">
      <c r="A21" t="s">
        <v>63</v>
      </c>
      <c r="B21" s="18">
        <f>-Assumptions!B30</f>
        <v>-4710400000</v>
      </c>
    </row>
    <row r="22" spans="1:2" x14ac:dyDescent="0.25">
      <c r="A22" t="s">
        <v>64</v>
      </c>
      <c r="B22" s="18">
        <f>B20+B21</f>
        <v>31764705931.69462</v>
      </c>
    </row>
    <row r="23" spans="1:2" x14ac:dyDescent="0.25">
      <c r="A23" s="19" t="s">
        <v>65</v>
      </c>
      <c r="B23" s="25">
        <f>B22/Assumptions!B31</f>
        <v>197.85903105056164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182.45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189.56691678838484</v>
      </c>
    </row>
    <row r="29" spans="1:2" x14ac:dyDescent="0.25">
      <c r="A29" s="19" t="s">
        <v>73</v>
      </c>
      <c r="B29" s="12">
        <f>B28/B26-1</f>
        <v>0.03900749130383585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0.040441</v>
      </c>
      <c r="B5" s="31">
        <v>308.4012443005634</v>
      </c>
      <c r="C5" s="31">
        <v>363.82438944201647</v>
      </c>
      <c r="D5" s="31">
        <v>454.90942633535974</v>
      </c>
      <c r="E5" s="31">
        <v>632.8897977809339</v>
      </c>
      <c r="F5" s="31">
        <v>1137.3225738547296</v>
      </c>
    </row>
    <row r="6" spans="1:6" x14ac:dyDescent="0.25">
      <c r="A6" s="30">
        <v>0.050441</v>
      </c>
      <c r="B6" s="31">
        <v>216.0572191350198</v>
      </c>
      <c r="C6" s="31">
        <v>238.73364151672493</v>
      </c>
      <c r="D6" s="31">
        <v>270.1887562217921</v>
      </c>
      <c r="E6" s="31">
        <v>316.864536972174</v>
      </c>
      <c r="F6" s="31">
        <v>393.54694262284886</v>
      </c>
    </row>
    <row r="7" spans="1:6" x14ac:dyDescent="0.25">
      <c r="A7" s="30">
        <v>0.060441</v>
      </c>
      <c r="B7" s="31">
        <v>164.28525303122834</v>
      </c>
      <c r="C7" s="31">
        <v>175.40333467189382</v>
      </c>
      <c r="D7" s="32">
        <v>189.5658644416631</v>
      </c>
      <c r="E7" s="31">
        <v>208.27301388340783</v>
      </c>
      <c r="F7" s="31">
        <v>234.20428832630645</v>
      </c>
    </row>
    <row r="8" spans="1:6" x14ac:dyDescent="0.25">
      <c r="A8" s="30">
        <v>0.070441</v>
      </c>
      <c r="B8" s="31">
        <v>131.13452145287738</v>
      </c>
      <c r="C8" s="31">
        <v>137.10592253016765</v>
      </c>
      <c r="D8" s="31">
        <v>144.32217375385775</v>
      </c>
      <c r="E8" s="31">
        <v>153.24500337488124</v>
      </c>
      <c r="F8" s="31">
        <v>164.59670128234956</v>
      </c>
    </row>
    <row r="9" spans="1:6" x14ac:dyDescent="0.25">
      <c r="A9" s="30">
        <v>0.080441</v>
      </c>
      <c r="B9" s="31">
        <v>108.07117567817208</v>
      </c>
      <c r="C9" s="31">
        <v>111.41996948727217</v>
      </c>
      <c r="D9" s="31">
        <v>115.31835869384564</v>
      </c>
      <c r="E9" s="31">
        <v>119.92978040187742</v>
      </c>
      <c r="F9" s="31">
        <v>125.48960547736678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11201300000</v>
      </c>
      <c r="C5" s="18">
        <v>11763100000</v>
      </c>
      <c r="D5" s="18">
        <v>11238600000</v>
      </c>
      <c r="E5" s="18">
        <v>10491800000</v>
      </c>
      <c r="F5" s="8" t="s">
        <v>84</v>
      </c>
    </row>
    <row r="6" spans="1:6" x14ac:dyDescent="0.25">
      <c r="A6" t="s">
        <v>44</v>
      </c>
      <c r="B6" s="18">
        <v>1523000000</v>
      </c>
      <c r="C6" s="18">
        <v>1713900000</v>
      </c>
      <c r="D6" s="18">
        <v>1559400000</v>
      </c>
      <c r="E6" s="18">
        <v>1579700000</v>
      </c>
      <c r="F6" s="8" t="s">
        <v>85</v>
      </c>
    </row>
    <row r="7" spans="1:6" x14ac:dyDescent="0.25">
      <c r="A7" t="s">
        <v>86</v>
      </c>
      <c r="B7" s="18">
        <v>541700000</v>
      </c>
      <c r="C7" s="18">
        <v>555600000</v>
      </c>
      <c r="D7" s="18">
        <v>495600000</v>
      </c>
      <c r="E7" s="18">
        <v>384500000</v>
      </c>
      <c r="F7" s="8" t="s">
        <v>87</v>
      </c>
    </row>
    <row r="8" spans="1:6" x14ac:dyDescent="0.25">
      <c r="A8" t="s">
        <v>88</v>
      </c>
      <c r="B8" s="18">
        <v>375400000</v>
      </c>
      <c r="C8" s="18">
        <v>359000000</v>
      </c>
      <c r="D8" s="18">
        <v>279900000</v>
      </c>
      <c r="E8" s="18">
        <v>266000000</v>
      </c>
      <c r="F8" s="8" t="s">
        <v>89</v>
      </c>
    </row>
    <row r="9" spans="1:6" x14ac:dyDescent="0.25">
      <c r="A9" t="s">
        <v>90</v>
      </c>
      <c r="B9" s="18">
        <v>-49600000</v>
      </c>
      <c r="C9" s="18">
        <v>176600000</v>
      </c>
      <c r="D9" s="18">
        <v>-71900000</v>
      </c>
      <c r="E9" s="18">
        <v>346400000</v>
      </c>
      <c r="F9" s="8" t="s">
        <v>91</v>
      </c>
    </row>
    <row r="10" spans="1:6" x14ac:dyDescent="0.25">
      <c r="A10" t="s">
        <v>92</v>
      </c>
      <c r="B10" s="18">
        <v>5518000000</v>
      </c>
      <c r="C10" s="18">
        <v>5723700000</v>
      </c>
      <c r="D10" s="18">
        <v>5838100000</v>
      </c>
      <c r="E10" s="18">
        <v>3894800000</v>
      </c>
      <c r="F10" s="8" t="s">
        <v>93</v>
      </c>
    </row>
    <row r="11" spans="1:6" x14ac:dyDescent="0.25">
      <c r="A11" t="s">
        <v>94</v>
      </c>
      <c r="B11" s="18">
        <v>807600000</v>
      </c>
      <c r="C11" s="18">
        <v>712900000</v>
      </c>
      <c r="D11" s="18">
        <v>648200000</v>
      </c>
      <c r="E11" s="18">
        <v>1876100000</v>
      </c>
      <c r="F11" s="8" t="s">
        <v>95</v>
      </c>
    </row>
    <row r="12" spans="1:6" x14ac:dyDescent="0.25">
      <c r="A12" t="s">
        <v>32</v>
      </c>
      <c r="B12" s="34">
        <v>160542108</v>
      </c>
      <c r="C12" s="34">
        <v>160521032</v>
      </c>
      <c r="D12" s="34">
        <v>160521640</v>
      </c>
      <c r="E12" s="34">
        <v>153527071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